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3952_istruzione_it/Documents/backupPDL/SCUOLE PARITARIE/ELENCO SCUOLE PARITARIE SUL SITO/A.S. 2021 2022/"/>
    </mc:Choice>
  </mc:AlternateContent>
  <xr:revisionPtr revIDLastSave="711" documentId="11_295AA403A409288C3303692B01B01FAA672AAF12" xr6:coauthVersionLast="47" xr6:coauthVersionMax="47" xr10:uidLastSave="{28B4CB3A-E9FC-4193-AE02-CAC255C1D89B}"/>
  <bookViews>
    <workbookView xWindow="-28920" yWindow="-6240" windowWidth="29040" windowHeight="15840" tabRatio="948" xr2:uid="{00000000-000D-0000-FFFF-FFFF00000000}"/>
  </bookViews>
  <sheets>
    <sheet name="infanzia" sheetId="1" r:id="rId1"/>
    <sheet name="primaria" sheetId="2" r:id="rId2"/>
    <sheet name="II grado " sheetId="4" r:id="rId3"/>
    <sheet name=" I grado" sheetId="3" r:id="rId4"/>
  </sheets>
  <definedNames>
    <definedName name="_xlnm._FilterDatabase" localSheetId="3" hidden="1">' I grado'!$A$2:$R$17</definedName>
    <definedName name="_xlnm._FilterDatabase" localSheetId="2" hidden="1">'II grado '!$A$2:$X$11</definedName>
    <definedName name="_xlnm._FilterDatabase" localSheetId="0" hidden="1">infanzia!$A$2:$L$174</definedName>
    <definedName name="_xlnm._FilterDatabase" localSheetId="1" hidden="1">primaria!$A$12:$S$34</definedName>
    <definedName name="_xlnm.Print_Area" localSheetId="3">' I grado'!$A$2:$R$19</definedName>
    <definedName name="_xlnm.Print_Area" localSheetId="2">'II grado '!$A$2:$X$23</definedName>
    <definedName name="_xlnm.Print_Area" localSheetId="0">infanzia!$A$2:$L$178</definedName>
    <definedName name="_xlnm.Print_Area" localSheetId="1">primaria!$A$12:$S$44</definedName>
    <definedName name="_xlnm.Print_Titles" localSheetId="2">'II grado '!$2:$3</definedName>
    <definedName name="_xlnm.Print_Titles" localSheetId="0">infanzia!$2:$2</definedName>
    <definedName name="_xlnm.Print_Titles" localSheetId="1">primaria!$12:$13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2" l="1"/>
  <c r="M26" i="2"/>
  <c r="L19" i="1"/>
  <c r="N7" i="4"/>
  <c r="O7" i="4"/>
  <c r="P7" i="4"/>
  <c r="Q7" i="4"/>
  <c r="S7" i="4"/>
  <c r="S15" i="2"/>
  <c r="M15" i="2"/>
  <c r="L77" i="1"/>
  <c r="L38" i="1"/>
  <c r="L27" i="1"/>
  <c r="R35" i="2"/>
  <c r="N35" i="2"/>
  <c r="S35" i="2"/>
  <c r="S32" i="2"/>
  <c r="S33" i="2"/>
  <c r="S34" i="2"/>
  <c r="R31" i="2"/>
  <c r="P31" i="2"/>
  <c r="O31" i="2"/>
  <c r="N31" i="2"/>
  <c r="S31" i="2"/>
  <c r="R30" i="2"/>
  <c r="Q30" i="2"/>
  <c r="P30" i="2"/>
  <c r="O30" i="2"/>
  <c r="N30" i="2"/>
  <c r="S30" i="2"/>
  <c r="S29" i="2"/>
  <c r="S28" i="2"/>
  <c r="S27" i="2"/>
  <c r="S25" i="2"/>
  <c r="S24" i="2"/>
  <c r="S23" i="2"/>
  <c r="S22" i="2"/>
  <c r="S21" i="2"/>
  <c r="S20" i="2"/>
  <c r="S19" i="2"/>
  <c r="Q18" i="2"/>
  <c r="P18" i="2"/>
  <c r="O18" i="2"/>
  <c r="S18" i="2"/>
  <c r="R17" i="2"/>
  <c r="Q17" i="2"/>
  <c r="P17" i="2"/>
  <c r="O17" i="2"/>
  <c r="N17" i="2"/>
  <c r="S17" i="2"/>
  <c r="S16" i="2"/>
  <c r="Q14" i="2"/>
  <c r="P14" i="2"/>
  <c r="O14" i="2"/>
  <c r="N14" i="2"/>
  <c r="S14" i="2"/>
  <c r="L172" i="1"/>
  <c r="L15" i="1"/>
  <c r="S15" i="4"/>
  <c r="R14" i="4"/>
  <c r="N14" i="4"/>
  <c r="S14" i="4"/>
  <c r="S13" i="4"/>
  <c r="N12" i="4"/>
  <c r="S12" i="4"/>
  <c r="S11" i="4"/>
  <c r="S10" i="4"/>
  <c r="S9" i="4"/>
  <c r="S8" i="4"/>
  <c r="S6" i="4"/>
  <c r="N5" i="4"/>
  <c r="S5" i="4"/>
  <c r="S4" i="4"/>
  <c r="O16" i="3"/>
  <c r="O15" i="3"/>
  <c r="O14" i="3"/>
  <c r="N13" i="3"/>
  <c r="M13" i="3"/>
  <c r="L13" i="3"/>
  <c r="O13" i="3"/>
  <c r="O12" i="3"/>
  <c r="N11" i="3"/>
  <c r="M11" i="3"/>
  <c r="L11" i="3"/>
  <c r="O11" i="3"/>
  <c r="N10" i="3"/>
  <c r="M10" i="3"/>
  <c r="L10" i="3"/>
  <c r="O10" i="3"/>
  <c r="O9" i="3"/>
  <c r="O8" i="3"/>
  <c r="O7" i="3"/>
  <c r="L6" i="3"/>
  <c r="M6" i="3"/>
  <c r="N6" i="3"/>
  <c r="O6" i="3"/>
  <c r="L5" i="3"/>
  <c r="M5" i="3"/>
  <c r="N5" i="3"/>
  <c r="O5" i="3"/>
  <c r="O4" i="3"/>
  <c r="L63" i="1"/>
  <c r="L62" i="1"/>
  <c r="L61" i="1"/>
  <c r="L58" i="1"/>
  <c r="L57" i="1"/>
  <c r="L56" i="1"/>
  <c r="L55" i="1"/>
  <c r="L54" i="1"/>
  <c r="L53" i="1"/>
  <c r="L52" i="1"/>
  <c r="L50" i="1"/>
  <c r="L49" i="1"/>
  <c r="L48" i="1"/>
  <c r="L47" i="1"/>
  <c r="L46" i="1"/>
  <c r="L45" i="1"/>
  <c r="L44" i="1"/>
  <c r="L43" i="1"/>
  <c r="L42" i="1"/>
  <c r="L41" i="1"/>
  <c r="L40" i="1"/>
  <c r="L39" i="1"/>
  <c r="L37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8" i="1"/>
  <c r="L17" i="1"/>
  <c r="L16" i="1"/>
  <c r="L14" i="1"/>
  <c r="L13" i="1"/>
  <c r="L12" i="1"/>
  <c r="L11" i="1"/>
  <c r="L10" i="1"/>
  <c r="L9" i="1"/>
  <c r="L173" i="1"/>
  <c r="L171" i="1"/>
  <c r="L170" i="1"/>
  <c r="L169" i="1"/>
  <c r="L168" i="1"/>
  <c r="L167" i="1"/>
  <c r="L166" i="1"/>
  <c r="L165" i="1"/>
  <c r="L163" i="1"/>
  <c r="L162" i="1"/>
  <c r="L161" i="1"/>
  <c r="L160" i="1"/>
  <c r="L158" i="1"/>
  <c r="L157" i="1"/>
  <c r="L156" i="1"/>
  <c r="L155" i="1"/>
  <c r="L154" i="1"/>
  <c r="L153" i="1"/>
  <c r="L152" i="1"/>
  <c r="L150" i="1"/>
  <c r="L149" i="1"/>
  <c r="L148" i="1"/>
  <c r="L145" i="1"/>
  <c r="L144" i="1"/>
  <c r="L143" i="1"/>
  <c r="L141" i="1"/>
  <c r="L140" i="1"/>
  <c r="L139" i="1"/>
  <c r="L137" i="1"/>
  <c r="L136" i="1"/>
  <c r="L135" i="1"/>
  <c r="L133" i="1"/>
  <c r="L132" i="1"/>
  <c r="L131" i="1"/>
  <c r="L130" i="1"/>
  <c r="L127" i="1"/>
  <c r="L125" i="1"/>
  <c r="L123" i="1"/>
  <c r="L120" i="1"/>
  <c r="L119" i="1"/>
  <c r="L118" i="1"/>
  <c r="L117" i="1"/>
  <c r="L116" i="1"/>
  <c r="L115" i="1"/>
  <c r="L112" i="1"/>
  <c r="L111" i="1"/>
  <c r="L110" i="1"/>
  <c r="L109" i="1"/>
  <c r="L107" i="1"/>
  <c r="L106" i="1"/>
  <c r="L105" i="1"/>
  <c r="L102" i="1"/>
  <c r="L91" i="1"/>
  <c r="L87" i="1"/>
  <c r="L78" i="1"/>
  <c r="L76" i="1"/>
  <c r="L72" i="1"/>
  <c r="L70" i="1"/>
  <c r="L69" i="1"/>
  <c r="L65" i="1"/>
  <c r="L81" i="1"/>
  <c r="J81" i="1"/>
  <c r="J176" i="1"/>
  <c r="L7" i="1"/>
  <c r="L6" i="1"/>
  <c r="L5" i="1"/>
  <c r="L3" i="1"/>
  <c r="K15" i="3"/>
  <c r="K176" i="1"/>
  <c r="K16" i="3"/>
  <c r="K12" i="3"/>
  <c r="K13" i="3"/>
  <c r="K14" i="3"/>
  <c r="K9" i="3"/>
  <c r="K10" i="3"/>
  <c r="K11" i="3"/>
  <c r="K8" i="3"/>
  <c r="K7" i="3"/>
  <c r="K6" i="3"/>
  <c r="K5" i="3"/>
  <c r="K4" i="3"/>
  <c r="M13" i="4"/>
  <c r="M14" i="4"/>
  <c r="M15" i="4"/>
  <c r="M6" i="4"/>
  <c r="M11" i="4"/>
  <c r="O17" i="3"/>
  <c r="M35" i="2"/>
  <c r="S16" i="4"/>
  <c r="M12" i="4"/>
  <c r="M5" i="4"/>
  <c r="M14" i="2"/>
  <c r="M16" i="2"/>
  <c r="M17" i="2"/>
  <c r="M18" i="2"/>
  <c r="M19" i="2"/>
  <c r="M20" i="2"/>
  <c r="M21" i="2"/>
  <c r="M22" i="2"/>
  <c r="M23" i="2"/>
  <c r="M24" i="2"/>
  <c r="M25" i="2"/>
  <c r="M27" i="2"/>
  <c r="M28" i="2"/>
  <c r="M29" i="2"/>
  <c r="M30" i="2"/>
  <c r="M31" i="2"/>
  <c r="M32" i="2"/>
  <c r="M33" i="2"/>
  <c r="M34" i="2"/>
  <c r="M8" i="4"/>
  <c r="M4" i="4"/>
  <c r="M7" i="4"/>
  <c r="M9" i="4"/>
  <c r="M10" i="4"/>
  <c r="M16" i="4"/>
  <c r="M36" i="2"/>
  <c r="S36" i="2"/>
  <c r="L176" i="1"/>
  <c r="K1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M.I.U.R.</author>
    <author>Administrator</author>
  </authors>
  <commentList>
    <comment ref="F6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M.I.U.R.:</t>
        </r>
        <r>
          <rPr>
            <sz val="8"/>
            <color indexed="81"/>
            <rFont val="Tahoma"/>
            <family val="2"/>
          </rPr>
          <t xml:space="preserve">
M.I.U.R.:
Paritaria dall'a.s. 2013/14 decreto prot.n. AOODRFR/5223 del 19/06/2013</t>
        </r>
      </text>
    </comment>
    <comment ref="H10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Passaggio gestione decreto prot.n. 12232 del 05/12/2017</t>
        </r>
      </text>
    </comment>
    <comment ref="F163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M.I.U.R.:</t>
        </r>
        <r>
          <rPr>
            <sz val="8"/>
            <color indexed="81"/>
            <rFont val="Tahoma"/>
            <family val="2"/>
          </rPr>
          <t xml:space="preserve">
Modificata la denominazione con decreto prot AOODRFR/1600 del 20 febbraio 2014.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18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Estesa parità seconda sezione decreto prot. n. AOODRFR/5937                                                                                del 27 giugno 2014 con a.s. 2013/2014
</t>
        </r>
      </text>
    </comment>
    <comment ref="H30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decreto estensione parità seconda sezione da a.s. 2016/17 prot.n. AOODRFR/6013 del 23/06/2016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M.I.U.R.</author>
    <author>Administrator</author>
  </authors>
  <commentList>
    <comment ref="D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M.I.U.R.:</t>
        </r>
        <r>
          <rPr>
            <sz val="8"/>
            <color indexed="81"/>
            <rFont val="Tahoma"/>
            <family val="2"/>
          </rPr>
          <t xml:space="preserve">
Paritaria dall'a.s. 2013/14 decreto prot.n. AOODRFR/5225 del 19/06/2013</t>
        </r>
      </text>
    </comment>
    <comment ref="H7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decreto estensione parità alla seconda sezione da a.s. 2016/17 prot.n. AOODRFR/6018 del 23/06/2016</t>
        </r>
      </text>
    </comment>
    <comment ref="D8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M.I.U.R.:</t>
        </r>
        <r>
          <rPr>
            <sz val="8"/>
            <color indexed="81"/>
            <rFont val="Tahoma"/>
            <family val="2"/>
          </rPr>
          <t xml:space="preserve">
Nuovo indirizzo
</t>
        </r>
      </text>
    </comment>
    <comment ref="D11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Decreto parità prot.n. AOODRFR/4155 DEL 02/05/2016 parità da a.s. 2016/17</t>
        </r>
      </text>
    </comment>
    <comment ref="D12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M.I.U.R.:</t>
        </r>
        <r>
          <rPr>
            <sz val="8"/>
            <color indexed="81"/>
            <rFont val="Tahoma"/>
            <family val="2"/>
          </rPr>
          <t xml:space="preserve">
Paritaria dall'a.s. 2012/13 decreto prot.n. AOODRFR/6057 del 26/06/2012</t>
        </r>
      </text>
    </comment>
    <comment ref="D13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M.I.U.R.:</t>
        </r>
        <r>
          <rPr>
            <sz val="8"/>
            <color indexed="81"/>
            <rFont val="Tahoma"/>
            <family val="2"/>
          </rPr>
          <t xml:space="preserve">
Paritaria dall'a.s. 2011/12 decreto prot.n. AOODRFR/7896 del 16/06/2011</t>
        </r>
      </text>
    </comment>
    <comment ref="D14" authorId="1" shapeId="0" xr:uid="{00000000-0006-0000-0400-000007000000}">
      <text>
        <r>
          <rPr>
            <b/>
            <sz val="9"/>
            <color indexed="81"/>
            <rFont val="Tahoma"/>
            <family val="2"/>
          </rPr>
          <t xml:space="preserve">M.I.U.R.:
</t>
        </r>
        <r>
          <rPr>
            <sz val="9"/>
            <color indexed="81"/>
            <rFont val="Tahoma"/>
            <family val="2"/>
          </rPr>
          <t xml:space="preserve">Paritaria dall'a.s. 2014/15 decreto prot.n. AOODRFR/5278 del 09/06/2014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M.I.U.R.</author>
    <author>Administrator</author>
  </authors>
  <commentList>
    <comment ref="D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M.I.U.R.:</t>
        </r>
        <r>
          <rPr>
            <sz val="8"/>
            <color indexed="81"/>
            <rFont val="Tahoma"/>
            <family val="2"/>
          </rPr>
          <t xml:space="preserve">
Paritaria a decorrere dall'a.s. 2012/13 decreto prot.n. AOODRFR/5976 del 22/06/2012</t>
        </r>
      </text>
    </comment>
    <comment ref="H6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ESTESA PARITà ALLA QUINTA SEZIONE DELLA CLASSE I E DELLA CLASSE II CON A.S. 2019/20</t>
        </r>
      </text>
    </comment>
    <comment ref="H13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decreto estensione parità alla terza sezione da a.s. 2016/17 prot.n. AOODRFR/6016 del 23/06/2016</t>
        </r>
      </text>
    </comment>
    <comment ref="D16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M.I.U.R.:</t>
        </r>
        <r>
          <rPr>
            <sz val="8"/>
            <color indexed="81"/>
            <rFont val="Tahoma"/>
            <family val="2"/>
          </rPr>
          <t xml:space="preserve">
Paritaria dall'a.s. 2013/14 decreto prot.n. AOODRFR/5227 del 19/06/2013</t>
        </r>
      </text>
    </comment>
  </commentList>
</comments>
</file>

<file path=xl/sharedStrings.xml><?xml version="1.0" encoding="utf-8"?>
<sst xmlns="http://schemas.openxmlformats.org/spreadsheetml/2006/main" count="1735" uniqueCount="824">
  <si>
    <t>GORIZIA</t>
  </si>
  <si>
    <t>PORDENONE</t>
  </si>
  <si>
    <t>TRIESTE</t>
  </si>
  <si>
    <t>UDINE</t>
  </si>
  <si>
    <t>Provincia</t>
  </si>
  <si>
    <t>Ordine Scuola</t>
  </si>
  <si>
    <t>Codice Meccanografico</t>
  </si>
  <si>
    <t>Denominazione</t>
  </si>
  <si>
    <t>Comune</t>
  </si>
  <si>
    <t>C.F. ENTE GESTORE</t>
  </si>
  <si>
    <t>ENTE GESTORE</t>
  </si>
  <si>
    <t>Sezioni 2021/22</t>
  </si>
  <si>
    <t>sezioni rilevazioni integrative</t>
  </si>
  <si>
    <t>n° alunni rilevazioni integrative</t>
  </si>
  <si>
    <t>FISM</t>
  </si>
  <si>
    <t xml:space="preserve">GO </t>
  </si>
  <si>
    <t>Infanzia</t>
  </si>
  <si>
    <t>GO1A00100C</t>
  </si>
  <si>
    <t>Rosa Mistica</t>
  </si>
  <si>
    <t>CORMONS</t>
  </si>
  <si>
    <t>03837580244</t>
  </si>
  <si>
    <t>ROSA MISTICA COOOPERATIVA SOCIALE ONLUS</t>
  </si>
  <si>
    <t>GO1A002008</t>
  </si>
  <si>
    <t>Istituto Ancelle di Gesù Bambino</t>
  </si>
  <si>
    <t xml:space="preserve">00647470277     </t>
  </si>
  <si>
    <t>ISTITUTO ANCELLE DI GESU' BAMBINO</t>
  </si>
  <si>
    <t>Comune di Gorizia</t>
  </si>
  <si>
    <t>GO1A00700B</t>
  </si>
  <si>
    <t>Livio Clemente</t>
  </si>
  <si>
    <t xml:space="preserve">00122500317     </t>
  </si>
  <si>
    <t>COMUNE DI GORIZIA</t>
  </si>
  <si>
    <t>GO1A008007</t>
  </si>
  <si>
    <t>Il bosco incantato di via Romagna</t>
  </si>
  <si>
    <t>GO1A00400X</t>
  </si>
  <si>
    <t>Luigi Rizzo</t>
  </si>
  <si>
    <t>GRADO</t>
  </si>
  <si>
    <t xml:space="preserve">00125930313     </t>
  </si>
  <si>
    <t>PARROCCHIA DI S.EUFEMIA</t>
  </si>
  <si>
    <t>GO1A00600G</t>
  </si>
  <si>
    <t>Ass.ne Scuola Waldorf Silvana Corazza</t>
  </si>
  <si>
    <t>SAGRADO</t>
  </si>
  <si>
    <t xml:space="preserve">01016940312     </t>
  </si>
  <si>
    <t>ASSOCIAZIONE SCUOLA WALDORF SILVANA CORAZZA</t>
  </si>
  <si>
    <t xml:space="preserve">PN </t>
  </si>
  <si>
    <t>PN1A00100A</t>
  </si>
  <si>
    <t>Ferrante Aporti</t>
  </si>
  <si>
    <t>AVIANO</t>
  </si>
  <si>
    <t xml:space="preserve">00212850937     </t>
  </si>
  <si>
    <t>PARROCCHIA SAN ZENONE VESCOVO</t>
  </si>
  <si>
    <t>PN1A002006</t>
  </si>
  <si>
    <t>Maria Immacolata</t>
  </si>
  <si>
    <t>AVIANO/MARSURE</t>
  </si>
  <si>
    <t xml:space="preserve">91011390936     </t>
  </si>
  <si>
    <t>PARROCCHIA DI SAN LORENZO MARTIRE</t>
  </si>
  <si>
    <t>PN1A003002</t>
  </si>
  <si>
    <t>Beata Vergine Del Rosario</t>
  </si>
  <si>
    <t>AZZANO DECIMO</t>
  </si>
  <si>
    <t xml:space="preserve">91010390937     </t>
  </si>
  <si>
    <t>PARROCCHIA DI S.PIETRO APOSTOLO</t>
  </si>
  <si>
    <t>PN1A00400T</t>
  </si>
  <si>
    <t>San Giuseppe</t>
  </si>
  <si>
    <t>ARBA</t>
  </si>
  <si>
    <t xml:space="preserve">90002250935     </t>
  </si>
  <si>
    <t>PARROCCHIA DI SAN MICHELE ARCANGELO</t>
  </si>
  <si>
    <t>PN1A00500N</t>
  </si>
  <si>
    <t>Sacro Cuore</t>
  </si>
  <si>
    <t>AZZANO DECIMO/TIEZZO</t>
  </si>
  <si>
    <t xml:space="preserve">91010320934     </t>
  </si>
  <si>
    <t>PARROCCHIA DI SAN MARTINO VESCOVO IN TIEZZO</t>
  </si>
  <si>
    <t>PN1A00600D</t>
  </si>
  <si>
    <t>Immacolata</t>
  </si>
  <si>
    <t>BRUGNERA</t>
  </si>
  <si>
    <t xml:space="preserve">80001150939     </t>
  </si>
  <si>
    <t>PARROCCHIA DI SAN GIACOMO APOSTOLO E NICOLA VESCOVO IN BRUGNERA</t>
  </si>
  <si>
    <t>PN1A007009</t>
  </si>
  <si>
    <t>Elena Morozzo Della Rocca</t>
  </si>
  <si>
    <t>BRUGNERA/TAMAI</t>
  </si>
  <si>
    <t xml:space="preserve">91010810934     </t>
  </si>
  <si>
    <t>PARROCCHIA DI SANTA MARGHERITA</t>
  </si>
  <si>
    <t>PN1A008005</t>
  </si>
  <si>
    <t>Monsignor Oreste Bortolussi</t>
  </si>
  <si>
    <t>CANEVA</t>
  </si>
  <si>
    <t xml:space="preserve">00216880930     </t>
  </si>
  <si>
    <t>PARROCCHIA DI SAN TOMASO APOSTOLO</t>
  </si>
  <si>
    <t>PN1A009001</t>
  </si>
  <si>
    <t>CASARSA DELLA DELIZIA</t>
  </si>
  <si>
    <t xml:space="preserve">80004830933     </t>
  </si>
  <si>
    <t>SCUOLA MATERNA SACRO CUORE DI CASARSA</t>
  </si>
  <si>
    <t>PN1A010005</t>
  </si>
  <si>
    <t>Monsignor Giacomo Jop</t>
  </si>
  <si>
    <t xml:space="preserve">00216730937     </t>
  </si>
  <si>
    <t>ASSOCIAZIONE MONS. GIACOMO JOP</t>
  </si>
  <si>
    <t>PN1A011001</t>
  </si>
  <si>
    <t>Maria Ausiliatrice</t>
  </si>
  <si>
    <t>CHIONS</t>
  </si>
  <si>
    <t xml:space="preserve">91010420932     </t>
  </si>
  <si>
    <t>PARROCCHIA DI SAN GIORGIO MARTIRE</t>
  </si>
  <si>
    <t>PN1A01200R</t>
  </si>
  <si>
    <t>CHIONS/VILLOTTA</t>
  </si>
  <si>
    <t xml:space="preserve">91011180931     </t>
  </si>
  <si>
    <t>PARROCCHIA S.S. LIBERALE E BARTOLOMEO</t>
  </si>
  <si>
    <t>PN1A01300L</t>
  </si>
  <si>
    <t>Maria Bambina</t>
  </si>
  <si>
    <t>CORDENONS</t>
  </si>
  <si>
    <t xml:space="preserve">00216740936     </t>
  </si>
  <si>
    <t>SCUOLA MATERNA PARROCCHIALE MARIA BAMBINA</t>
  </si>
  <si>
    <t>PN1A015008</t>
  </si>
  <si>
    <t>FANNA</t>
  </si>
  <si>
    <t xml:space="preserve">90003150936     </t>
  </si>
  <si>
    <t>PARROCCHIA "SAN MARTINO VESCOVO"</t>
  </si>
  <si>
    <t>PN1A016004</t>
  </si>
  <si>
    <t>Angelo Custode</t>
  </si>
  <si>
    <t>FIUME VENETO</t>
  </si>
  <si>
    <t xml:space="preserve">00217010933     </t>
  </si>
  <si>
    <t>SCUOLA DELL'INFANZIA " ANGELO CUSTODE "</t>
  </si>
  <si>
    <t>PN1A01700X</t>
  </si>
  <si>
    <t>BANNIA/FIUME VENETO</t>
  </si>
  <si>
    <t xml:space="preserve">00216940932     </t>
  </si>
  <si>
    <t>SCUOLA MATERNA MARIA IMMACOLATA</t>
  </si>
  <si>
    <t>PN1A01800Q</t>
  </si>
  <si>
    <t>Giovanni Baschiera</t>
  </si>
  <si>
    <t>PESCINCANNA/FIUME VENETO</t>
  </si>
  <si>
    <t xml:space="preserve">91011290938     </t>
  </si>
  <si>
    <t>PN1A01900G</t>
  </si>
  <si>
    <t>Anto Zilli</t>
  </si>
  <si>
    <t>FONTANAFREDDA</t>
  </si>
  <si>
    <t xml:space="preserve">91009550939     </t>
  </si>
  <si>
    <t>PARROCCHIA DI SAN GIORGIO MARTIRE IN FONTANAFREDDA</t>
  </si>
  <si>
    <t>PN1A02000Q</t>
  </si>
  <si>
    <t>Giovanni Giol</t>
  </si>
  <si>
    <t>VIGONOVO/FONTANAFREDDA</t>
  </si>
  <si>
    <t xml:space="preserve">01301830939     </t>
  </si>
  <si>
    <t>ASILO DI ROMANO</t>
  </si>
  <si>
    <t>PN1A02100G</t>
  </si>
  <si>
    <t>Giannino Piazza</t>
  </si>
  <si>
    <t>MANIAGO</t>
  </si>
  <si>
    <t xml:space="preserve">90003040939     </t>
  </si>
  <si>
    <t>PARROCCHIA DEI SS. VITO, MODESTO E CRESCENZA MARTIRI</t>
  </si>
  <si>
    <t>PN1A02200B</t>
  </si>
  <si>
    <t>Santissimo Redentore</t>
  </si>
  <si>
    <t>MEDUNO</t>
  </si>
  <si>
    <t>02759480276</t>
  </si>
  <si>
    <t>IL PORTICO COOPERATIVA SOCIALE ONLUS</t>
  </si>
  <si>
    <t>PN1A024003</t>
  </si>
  <si>
    <t>Gesu' Bambino</t>
  </si>
  <si>
    <t>PASIANO DI PORDENONE</t>
  </si>
  <si>
    <t xml:space="preserve">00217230937     </t>
  </si>
  <si>
    <t>ASSOCIAZIONE SCUOLA DELL'INFANZIA ASILO NIDO "GESU' BAMBINO"</t>
  </si>
  <si>
    <t>PN1A02500V</t>
  </si>
  <si>
    <t>San Benedetto</t>
  </si>
  <si>
    <t>RIVAROTTA DI PASIANO DI PORDENONE</t>
  </si>
  <si>
    <t xml:space="preserve">91012560933     </t>
  </si>
  <si>
    <t>PARROCCHIA DI SAN BENEDETTO ABATE</t>
  </si>
  <si>
    <t>PN1A02600P</t>
  </si>
  <si>
    <t>SAN GIOVANNI DI POLCENIGO</t>
  </si>
  <si>
    <t xml:space="preserve">91001040939     </t>
  </si>
  <si>
    <t>PARROCCHIA S. GIOVANNI BATTISTA</t>
  </si>
  <si>
    <t>PN1A02700E</t>
  </si>
  <si>
    <t>Monumento Ai Caduti</t>
  </si>
  <si>
    <t>PORCIA</t>
  </si>
  <si>
    <t xml:space="preserve">00216900936     </t>
  </si>
  <si>
    <t>SCUOLA MATERNA MONUMENTO AI CADUTI PORCIA</t>
  </si>
  <si>
    <t>PN1A029006</t>
  </si>
  <si>
    <t>San Giorgio</t>
  </si>
  <si>
    <t xml:space="preserve">91011580932     </t>
  </si>
  <si>
    <t>PN1A03000A</t>
  </si>
  <si>
    <t>Santa Maria Goretti</t>
  </si>
  <si>
    <t>PORDENONE/BORGOMEDUNA</t>
  </si>
  <si>
    <t xml:space="preserve">80014360939     </t>
  </si>
  <si>
    <t>PARROCCHIA SAN GIUSEPPE</t>
  </si>
  <si>
    <t>PN1A031006</t>
  </si>
  <si>
    <t>Giuseppe Lozer</t>
  </si>
  <si>
    <t>PORDENONE/TORRE</t>
  </si>
  <si>
    <t xml:space="preserve">80002070938     </t>
  </si>
  <si>
    <t>PARROCCHIA DEI SANTI ILARIO E TAZIANO DI TORRE</t>
  </si>
  <si>
    <t>PN1A032002</t>
  </si>
  <si>
    <t>PORDENONE/COMINA BASSA</t>
  </si>
  <si>
    <t xml:space="preserve">91011590931     </t>
  </si>
  <si>
    <t>PARROCCHIA " SACRO CUORE DI GESU' "</t>
  </si>
  <si>
    <t>PN1A03300T</t>
  </si>
  <si>
    <t>Santa Lucia</t>
  </si>
  <si>
    <t>PORDENONE/RORAIGRANDE</t>
  </si>
  <si>
    <t xml:space="preserve">91010440930     </t>
  </si>
  <si>
    <t>PARROCCHIA DI SAN LORENZO</t>
  </si>
  <si>
    <t>PN1A03400N</t>
  </si>
  <si>
    <t>PRATA DI PORDENONE</t>
  </si>
  <si>
    <t>00239970932</t>
  </si>
  <si>
    <t>ASSOCIAZIONE GENITORI SCUOLA MATERNA SAN GIUSEPPE</t>
  </si>
  <si>
    <t>PN1A03500D</t>
  </si>
  <si>
    <t>Sant'antonio Abate</t>
  </si>
  <si>
    <t>PRAVISDOMINI</t>
  </si>
  <si>
    <t>PN1A036009</t>
  </si>
  <si>
    <t>ROVEREDO IN PIANO</t>
  </si>
  <si>
    <t xml:space="preserve">91010760931     </t>
  </si>
  <si>
    <t>PARROCCHIA DI SAN BARTOLOMEO APOSTOLO</t>
  </si>
  <si>
    <t>PN1A037005</t>
  </si>
  <si>
    <t>SACILE</t>
  </si>
  <si>
    <t xml:space="preserve">80006070934     </t>
  </si>
  <si>
    <t>PARROCCHIA SAN NICOLO' VESCOVO</t>
  </si>
  <si>
    <t>PN1A038001</t>
  </si>
  <si>
    <t>Santa Teresina di Gesù Bambino</t>
  </si>
  <si>
    <t>SACILE/CAMOLLI</t>
  </si>
  <si>
    <t xml:space="preserve">80007890934     </t>
  </si>
  <si>
    <t>PARROCCHIA DI S. TERESINA DEL BAMBIN GESU'</t>
  </si>
  <si>
    <t>PN1A03900R</t>
  </si>
  <si>
    <t>San Giovanni Bosco</t>
  </si>
  <si>
    <t>SACILE/CAVOLANO</t>
  </si>
  <si>
    <t xml:space="preserve">00217020932     </t>
  </si>
  <si>
    <t>PARROCCHIA DI S. LORENZO MARTIRE</t>
  </si>
  <si>
    <t>PN1A040001</t>
  </si>
  <si>
    <t>Maria Maddalena Balliana</t>
  </si>
  <si>
    <t>SACILE/S. ODORICO</t>
  </si>
  <si>
    <t>PARROCCHIA DI S.ULDERICO</t>
  </si>
  <si>
    <t>PN1A04100R</t>
  </si>
  <si>
    <t>Immacolata Concezione</t>
  </si>
  <si>
    <t>SAN GIORGIO DELLA RICHINVELDA/RAUSCEDO</t>
  </si>
  <si>
    <t xml:space="preserve">90003430932     </t>
  </si>
  <si>
    <t>PARROCCHIA DI S. MARIA E S. GIUSEPPE</t>
  </si>
  <si>
    <t>PN1A04200L</t>
  </si>
  <si>
    <t>San Quirino</t>
  </si>
  <si>
    <t>SAN QUIRINO</t>
  </si>
  <si>
    <t xml:space="preserve">00216960930     </t>
  </si>
  <si>
    <t>SCUOLA MATERNA DI S. QUIRINO</t>
  </si>
  <si>
    <t>PN1A04300C</t>
  </si>
  <si>
    <t>Antonietta E Giovanna Fabrici</t>
  </si>
  <si>
    <t>SAN VITO AL TAGLIAMENTO</t>
  </si>
  <si>
    <t xml:space="preserve">00443290937     </t>
  </si>
  <si>
    <t>FONDAZIONE FALCON VIAL - FABRICI - MORASSUTTI</t>
  </si>
  <si>
    <t>PN1A044008</t>
  </si>
  <si>
    <t>Santa Teresina Del Bambino Gesu'</t>
  </si>
  <si>
    <t>SAN VITO AL TAGLIAMENTO/GLERIS</t>
  </si>
  <si>
    <t xml:space="preserve">91010600939     </t>
  </si>
  <si>
    <t>PARROCCHIA DEI SANTI STEFANO,SABINA E ANTONIO DI PADOVA</t>
  </si>
  <si>
    <t>PN1A045004</t>
  </si>
  <si>
    <t>Gianpaolo E Federico Morassutti</t>
  </si>
  <si>
    <t>SAN VITO AL TAGLIAMENTO/MADONNA DI ROSA</t>
  </si>
  <si>
    <t>PN1A04600X</t>
  </si>
  <si>
    <t>Sacro Cuore Di Gesu'</t>
  </si>
  <si>
    <t>SAN VITO AL TAGLIAMENTO/SAVORGNANO</t>
  </si>
  <si>
    <t xml:space="preserve">91010270931     </t>
  </si>
  <si>
    <t>PARROCCHIA DI SAN GIACOMO APOSTOLO IN SAVORGNANO</t>
  </si>
  <si>
    <t>PN1A04700Q</t>
  </si>
  <si>
    <t>La Nostra Famiglia</t>
  </si>
  <si>
    <t xml:space="preserve">00307430132     </t>
  </si>
  <si>
    <t>ASSOCIAZIONE LA NOSTRA FAMIGLIA</t>
  </si>
  <si>
    <t>PN1A04800G</t>
  </si>
  <si>
    <t>Italica Spes</t>
  </si>
  <si>
    <t>SESTO AL REGHENA</t>
  </si>
  <si>
    <t>PN1A04900B</t>
  </si>
  <si>
    <t>San Luigi Gonzaga</t>
  </si>
  <si>
    <t xml:space="preserve">80007120936     </t>
  </si>
  <si>
    <t>PARROCCHIA DI TUTTI I SANTI IN BAGNAROLA</t>
  </si>
  <si>
    <t>PN1A05000G</t>
  </si>
  <si>
    <t>Maria Assunta</t>
  </si>
  <si>
    <t>SPILIMBERGO/BARBEANO</t>
  </si>
  <si>
    <t xml:space="preserve">90002270933     </t>
  </si>
  <si>
    <t>PARROCCHIA SANTA MARIA MADDALENA</t>
  </si>
  <si>
    <t>PN1A05100B</t>
  </si>
  <si>
    <t>Della Divina Volonta'</t>
  </si>
  <si>
    <t>SPILIMBERGO/TAURIANO</t>
  </si>
  <si>
    <t xml:space="preserve">00218190932     </t>
  </si>
  <si>
    <t>SCUOLA MATERNA DIVINA VOLONTA' DI TAURIANO</t>
  </si>
  <si>
    <t>PN1A052007</t>
  </si>
  <si>
    <t>San Antonio</t>
  </si>
  <si>
    <t>TRAVESIO</t>
  </si>
  <si>
    <t xml:space="preserve">90002580935     </t>
  </si>
  <si>
    <t>PARROCCHIA DI SAN PIETRO APOSTOLO</t>
  </si>
  <si>
    <t>PN1A053003</t>
  </si>
  <si>
    <t>Giovanni XXIII</t>
  </si>
  <si>
    <t>VALVASONE</t>
  </si>
  <si>
    <t xml:space="preserve">91011610937     </t>
  </si>
  <si>
    <t>PARROCCHIA DEL S.S. CORPO DI CRISTO - SCUOLA MATERNA</t>
  </si>
  <si>
    <t>PN1A05400V</t>
  </si>
  <si>
    <t>VIVARO</t>
  </si>
  <si>
    <t xml:space="preserve">81001710938     </t>
  </si>
  <si>
    <t>PARROCCHIA SANTA MARIA ASSUNTA</t>
  </si>
  <si>
    <t>PN1A05500P</t>
  </si>
  <si>
    <t>Lodovico De Angeli</t>
  </si>
  <si>
    <t>VIVARO/TESIS</t>
  </si>
  <si>
    <t xml:space="preserve">90002390939     </t>
  </si>
  <si>
    <t>PARROCCHIA DI SAN PAOLO APOSTOLO - TESIS</t>
  </si>
  <si>
    <t>PN1A05600E</t>
  </si>
  <si>
    <t>Cardinal Antonio Panciera</t>
  </si>
  <si>
    <t>ZOPPOLA</t>
  </si>
  <si>
    <t xml:space="preserve">91009560938     </t>
  </si>
  <si>
    <t>PARROCCHIA DI SAN MARTINO VESCOVO</t>
  </si>
  <si>
    <t>PN1A05700A</t>
  </si>
  <si>
    <t>Vincenzo Favetti</t>
  </si>
  <si>
    <t>ZOPPOLA/CASTIONS</t>
  </si>
  <si>
    <t xml:space="preserve">00221260938     </t>
  </si>
  <si>
    <t>FONDAZIONE MICOLI-TOSCANO</t>
  </si>
  <si>
    <t>PN1A3V5008</t>
  </si>
  <si>
    <t>Melarancia</t>
  </si>
  <si>
    <t>01191450939</t>
  </si>
  <si>
    <t>MELARANCIA UN POSTO PER GIOCARE ONLUS</t>
  </si>
  <si>
    <t>Comune di Trieste</t>
  </si>
  <si>
    <t>TS</t>
  </si>
  <si>
    <t>TS1A001008</t>
  </si>
  <si>
    <t>M.Silvestri</t>
  </si>
  <si>
    <t xml:space="preserve">00210240321     </t>
  </si>
  <si>
    <t>COMUNE DI TRIESTE</t>
  </si>
  <si>
    <t>TS1A00300X</t>
  </si>
  <si>
    <t>Sacro Cuore - Orsoline</t>
  </si>
  <si>
    <t xml:space="preserve">00347380230     </t>
  </si>
  <si>
    <t>ISTITUTO DELLE ORSOLINE FIGLIE DI MARIA IMMACOLATA</t>
  </si>
  <si>
    <t>TS1A00500G</t>
  </si>
  <si>
    <t>Sorelle Agazzi</t>
  </si>
  <si>
    <t>TS1A00600B</t>
  </si>
  <si>
    <t>L'isola Dei Tesori</t>
  </si>
  <si>
    <t>TS1A007007</t>
  </si>
  <si>
    <t>Delfino Blu</t>
  </si>
  <si>
    <t>TS1A008003</t>
  </si>
  <si>
    <t>European School</t>
  </si>
  <si>
    <t xml:space="preserve">01073280321     </t>
  </si>
  <si>
    <t>COOPERATIVA SOCIALE SCUOLA DEL CASTELLETTO ARL</t>
  </si>
  <si>
    <t>TS1A00900V</t>
  </si>
  <si>
    <t>Beata Vergine</t>
  </si>
  <si>
    <t xml:space="preserve">00319360194     </t>
  </si>
  <si>
    <t>CONGREGAZIONE SUORE DELLA BEATA VERGINE</t>
  </si>
  <si>
    <t>TS1A010003</t>
  </si>
  <si>
    <t>Giochi Delle Stelle</t>
  </si>
  <si>
    <t>TS1A01100V</t>
  </si>
  <si>
    <t>Ancelle Della Carita'</t>
  </si>
  <si>
    <t xml:space="preserve">02347900587     </t>
  </si>
  <si>
    <t>CONGREGAZIONE SUORE ANCELLE DELLA CARITA'</t>
  </si>
  <si>
    <t>TS1A01200P</t>
  </si>
  <si>
    <t>Cuccioli</t>
  </si>
  <si>
    <t>TS1A01300E</t>
  </si>
  <si>
    <t>La Scuola Del Sole</t>
  </si>
  <si>
    <t>TS1A01400A</t>
  </si>
  <si>
    <t>Il Tempo Magico</t>
  </si>
  <si>
    <t>TS1A015006</t>
  </si>
  <si>
    <t>Maddalena Di Canossa</t>
  </si>
  <si>
    <t xml:space="preserve">00517380267     </t>
  </si>
  <si>
    <t>CASA PRIMARIA IN TREVISO DELL'ISTITUTO FIGLIE CARITA' CANOSSIANE</t>
  </si>
  <si>
    <t>TS1A016002</t>
  </si>
  <si>
    <t>Collegio Dimesse</t>
  </si>
  <si>
    <t xml:space="preserve">00474540309     </t>
  </si>
  <si>
    <t>SUORE DIMESSE FIGLIE DELL'IMMACOLATA CONCEZIONE</t>
  </si>
  <si>
    <t>TS1A01700T</t>
  </si>
  <si>
    <t>Casa Dei Bambini S. Giusto</t>
  </si>
  <si>
    <t xml:space="preserve">00669950289     </t>
  </si>
  <si>
    <t>ISTITUTO SUORE TERZIARIE FRANCESCANE ELISABETTINE</t>
  </si>
  <si>
    <t>TS1A01800N</t>
  </si>
  <si>
    <t>Il Giardino Dei Sogni</t>
  </si>
  <si>
    <t>TS1A01900D</t>
  </si>
  <si>
    <t>TS1A02000N</t>
  </si>
  <si>
    <t>Nuvola Olga</t>
  </si>
  <si>
    <t>TS1A02100D</t>
  </si>
  <si>
    <t>Giardino Incantato</t>
  </si>
  <si>
    <t>TS1A022009</t>
  </si>
  <si>
    <t>C. Stuparich</t>
  </si>
  <si>
    <t>TS1A023005</t>
  </si>
  <si>
    <t>Casetta Incantata</t>
  </si>
  <si>
    <t>TS1A024001</t>
  </si>
  <si>
    <t>Mille Bimbi</t>
  </si>
  <si>
    <t>TS1A02500R</t>
  </si>
  <si>
    <t>Marco Tedeschi</t>
  </si>
  <si>
    <t xml:space="preserve">80020370328     </t>
  </si>
  <si>
    <t>FONDAZIONE ASILO INFANTILE MARCO TEDESCHI</t>
  </si>
  <si>
    <t>TS1A02600L</t>
  </si>
  <si>
    <t xml:space="preserve">02446190585     </t>
  </si>
  <si>
    <t>ISTITUTO SUORE CLARISSE DEL SS SACRAMENTO</t>
  </si>
  <si>
    <t>TS1A028008</t>
  </si>
  <si>
    <t>Tor Cucherna</t>
  </si>
  <si>
    <t>TS1A029004</t>
  </si>
  <si>
    <t>Pallini</t>
  </si>
  <si>
    <t>TS1A030008</t>
  </si>
  <si>
    <t>Rena Nuova</t>
  </si>
  <si>
    <t>TS1A03200X</t>
  </si>
  <si>
    <t xml:space="preserve">00503520264     </t>
  </si>
  <si>
    <t>ENTE GIURIDICO COLLEGIO IMMACOLATA DELLE SALESIANE DI DON BOSCO</t>
  </si>
  <si>
    <t>TS1A03300Q</t>
  </si>
  <si>
    <t>Pollitzer G.</t>
  </si>
  <si>
    <t>TS1A03400G</t>
  </si>
  <si>
    <t>Stella Marina</t>
  </si>
  <si>
    <t>TS1A03500B</t>
  </si>
  <si>
    <t>Primi Voli</t>
  </si>
  <si>
    <t>TS1A036007</t>
  </si>
  <si>
    <t>Mille Colori</t>
  </si>
  <si>
    <t>TS1A037003</t>
  </si>
  <si>
    <t>Don D. Chalvien</t>
  </si>
  <si>
    <t>TS1A03800V</t>
  </si>
  <si>
    <t>Borgo Felice</t>
  </si>
  <si>
    <t>TS1A03900P</t>
  </si>
  <si>
    <t>Kamillo Kromo</t>
  </si>
  <si>
    <t>TS1A04000V</t>
  </si>
  <si>
    <t>L'arcobaleno</t>
  </si>
  <si>
    <t>TS1A04100P</t>
  </si>
  <si>
    <t>Azzurra</t>
  </si>
  <si>
    <t>TS1A04200E</t>
  </si>
  <si>
    <t>La Capriola</t>
  </si>
  <si>
    <t>TS1A044006</t>
  </si>
  <si>
    <t>Santi Giovanni e Paolo</t>
  </si>
  <si>
    <t>MUGGIA</t>
  </si>
  <si>
    <t xml:space="preserve">80014970323     </t>
  </si>
  <si>
    <t>ASSOCIAZIONE SANTI GIOVANNI E PAOLO SCUOLA MATERNA</t>
  </si>
  <si>
    <t>TS1A04600T</t>
  </si>
  <si>
    <t>Tre Casette</t>
  </si>
  <si>
    <t>Comune di Duino Aurisina</t>
  </si>
  <si>
    <t>TS1A04800D</t>
  </si>
  <si>
    <t>Scuola materna comunale di San Pelagio slovena</t>
  </si>
  <si>
    <t>DUINO AURISINA</t>
  </si>
  <si>
    <t xml:space="preserve">00157190323     </t>
  </si>
  <si>
    <t>COMUNE DI DUINO AURISINA</t>
  </si>
  <si>
    <t xml:space="preserve">UD </t>
  </si>
  <si>
    <t>UD1A002028</t>
  </si>
  <si>
    <t>Maria Al Tempio</t>
  </si>
  <si>
    <t xml:space="preserve">80002330308     </t>
  </si>
  <si>
    <t>FONDAZIONE CASA SECOLARE DELLE ZITELLE</t>
  </si>
  <si>
    <t>UD1A003002</t>
  </si>
  <si>
    <t>M.Andretta</t>
  </si>
  <si>
    <t>LIGNANO-SABBIADORO</t>
  </si>
  <si>
    <t xml:space="preserve">83000750303     </t>
  </si>
  <si>
    <t>PARROCCHIA SAN GIOVANNI BOSCO</t>
  </si>
  <si>
    <t>UD1A00400T</t>
  </si>
  <si>
    <t>Mons. Ugo Larice</t>
  </si>
  <si>
    <t>SAN DANIELE DEL FRIULI</t>
  </si>
  <si>
    <t>UD1A00600D</t>
  </si>
  <si>
    <t>Paola Di Rosa</t>
  </si>
  <si>
    <t>ARTA TERME</t>
  </si>
  <si>
    <t>UD1A007009</t>
  </si>
  <si>
    <t>Tenente Silvano Sbrizzai</t>
  </si>
  <si>
    <t>PAULARO</t>
  </si>
  <si>
    <t>PARROCCHIA SANTI VITO MODESTO E CRESCENZIA MARTIRI</t>
  </si>
  <si>
    <t>UD1A008005</t>
  </si>
  <si>
    <t>TAVAGNACCO</t>
  </si>
  <si>
    <t xml:space="preserve">01776020305     </t>
  </si>
  <si>
    <t>UD1A009001</t>
  </si>
  <si>
    <t>FAGAGNA</t>
  </si>
  <si>
    <t>FONDAZIONE ARCIVESCOVILE PER LE SCUOLE  CATTOLICHE DIOCESANE</t>
  </si>
  <si>
    <t>UD1A010005</t>
  </si>
  <si>
    <t>SAN GIORGIO DI NOGARO</t>
  </si>
  <si>
    <t xml:space="preserve">81001430305     </t>
  </si>
  <si>
    <t>UD1A011001</t>
  </si>
  <si>
    <t>M.Immacolata</t>
  </si>
  <si>
    <t>PORPETTO</t>
  </si>
  <si>
    <t xml:space="preserve">81000370304     </t>
  </si>
  <si>
    <t>PARROCCHIA DI SAN VINCENZO MARTIRE-SCUOLA MATERNA</t>
  </si>
  <si>
    <t>UD1A01200R</t>
  </si>
  <si>
    <t>San Luigi</t>
  </si>
  <si>
    <t>PASIAN DI PRATO</t>
  </si>
  <si>
    <t xml:space="preserve">80004030302     </t>
  </si>
  <si>
    <t>PARROCCHIA SAN GIACOMO APOSTOLO</t>
  </si>
  <si>
    <t>UD1A01300L</t>
  </si>
  <si>
    <t>Francesco Deciani</t>
  </si>
  <si>
    <t>MARTIGNACCO</t>
  </si>
  <si>
    <t>UD1A015008</t>
  </si>
  <si>
    <t>UD1A016004</t>
  </si>
  <si>
    <t>Papa Giovanni XXIII</t>
  </si>
  <si>
    <t xml:space="preserve">80000370306     </t>
  </si>
  <si>
    <t>PARROCCHIA S.GOTTARDO VESCOVO</t>
  </si>
  <si>
    <t>UD1A01700X</t>
  </si>
  <si>
    <t>San Marco</t>
  </si>
  <si>
    <t xml:space="preserve">80002310300     </t>
  </si>
  <si>
    <t>PARROCCHIA DI S. MARCO EVANGELISTA -GESTIONE SCUOLA MATERNA</t>
  </si>
  <si>
    <t>UD1A01800Q</t>
  </si>
  <si>
    <t>Ugo Caparini</t>
  </si>
  <si>
    <t>TALMASSONS</t>
  </si>
  <si>
    <t xml:space="preserve">80006090304     </t>
  </si>
  <si>
    <t>PARROCCHIA SAN LORENZO MARTIRE</t>
  </si>
  <si>
    <t>UD1A01900G</t>
  </si>
  <si>
    <t>Italia</t>
  </si>
  <si>
    <t>CASTIONS DI STRADA</t>
  </si>
  <si>
    <t>UD1A02000Q</t>
  </si>
  <si>
    <t>Fondazione Casa De Senibus</t>
  </si>
  <si>
    <t>AIELLO DEL FRIULI</t>
  </si>
  <si>
    <t xml:space="preserve">81001170307     </t>
  </si>
  <si>
    <t>FONDAZIONE CASA DE SENIBUS ASILO D'INFANZIA</t>
  </si>
  <si>
    <t>UD1A02100G</t>
  </si>
  <si>
    <t>Regina Margherita</t>
  </si>
  <si>
    <t>MOGGIO UDINESE</t>
  </si>
  <si>
    <t xml:space="preserve">84001590300     </t>
  </si>
  <si>
    <t>PARROCCHIA DI SAN GALLO ABATE - GEST.SC.MAT.REGINA MARGHERITA</t>
  </si>
  <si>
    <t>UD1A02200B</t>
  </si>
  <si>
    <t>Franco Andrea Nicoloso</t>
  </si>
  <si>
    <t>BUIA</t>
  </si>
  <si>
    <t xml:space="preserve">82000190304     </t>
  </si>
  <si>
    <t>PARROCCHIA DI SAN LORENZO MARTIRE - GESTIONE SCUOLA MATERNA</t>
  </si>
  <si>
    <t>UD1A023007</t>
  </si>
  <si>
    <t>A.M.Gianelli</t>
  </si>
  <si>
    <t>TOLMEZZO</t>
  </si>
  <si>
    <t xml:space="preserve">00468520309     </t>
  </si>
  <si>
    <t>ENTE "CONVITTO" A. GIANELLI</t>
  </si>
  <si>
    <t>UD1A024003</t>
  </si>
  <si>
    <t>Sacri Cuori</t>
  </si>
  <si>
    <t xml:space="preserve">82000250306     </t>
  </si>
  <si>
    <t>PARROCCHIA BEATA VERGINE AD MELOTUM</t>
  </si>
  <si>
    <t>UD1A02600P</t>
  </si>
  <si>
    <t>V.Cecutti</t>
  </si>
  <si>
    <t>POVOLETTO</t>
  </si>
  <si>
    <t xml:space="preserve">94043540304     </t>
  </si>
  <si>
    <t>ASS.GESTIONE SCUOLA MATERNA PARROCCHIALE 'VALENTINO CECUTTI'</t>
  </si>
  <si>
    <t>UD1A02700E</t>
  </si>
  <si>
    <t>SAVORGNANO DEL TORRE/POVOLETTO</t>
  </si>
  <si>
    <t xml:space="preserve">80008640304     </t>
  </si>
  <si>
    <t>PARROCCHIA SAN MICHELE ARCANGELO GESTIONE SCUOLA MATERNA</t>
  </si>
  <si>
    <t>UD1A02800A</t>
  </si>
  <si>
    <t>Suor A. Profili</t>
  </si>
  <si>
    <t>OSOPPO</t>
  </si>
  <si>
    <t>UD1A029006</t>
  </si>
  <si>
    <t>Alessandro Trevisan</t>
  </si>
  <si>
    <t>PRECENICCO</t>
  </si>
  <si>
    <t>UD1A03000A</t>
  </si>
  <si>
    <t>Casa Del Fanciullo</t>
  </si>
  <si>
    <t>PALAZZOLO DELLO STELLA</t>
  </si>
  <si>
    <t>UD1A031006</t>
  </si>
  <si>
    <t>Don R. Valentinis</t>
  </si>
  <si>
    <t>CARLINO</t>
  </si>
  <si>
    <t xml:space="preserve">90010440304     </t>
  </si>
  <si>
    <t>SCUOLA DELL'INFANZIA DON RICCARDO VALENTINIS</t>
  </si>
  <si>
    <t>UD1A032002</t>
  </si>
  <si>
    <t>GONARS</t>
  </si>
  <si>
    <t>PARROCCHIA SAN CANCIANO MARTIRE</t>
  </si>
  <si>
    <t>UD1A03300T</t>
  </si>
  <si>
    <t>BAGNARIA ARSA</t>
  </si>
  <si>
    <t xml:space="preserve">90005440301     </t>
  </si>
  <si>
    <t>PARROCCHIA DI S. ANDREA APOSTOLO</t>
  </si>
  <si>
    <t>UD1A03400N</t>
  </si>
  <si>
    <t>San Martino Vescovo</t>
  </si>
  <si>
    <t>CUSSIGNACCO</t>
  </si>
  <si>
    <t>UD1A03500D</t>
  </si>
  <si>
    <t>F. Marzano</t>
  </si>
  <si>
    <t xml:space="preserve">80001150301     </t>
  </si>
  <si>
    <t>PARROCCHIA DEL CRISTO</t>
  </si>
  <si>
    <t>UD1A036009</t>
  </si>
  <si>
    <t>UD1A037005</t>
  </si>
  <si>
    <t>Paulini</t>
  </si>
  <si>
    <t xml:space="preserve">00474270303     </t>
  </si>
  <si>
    <t>ISTITUTO DELLE SUORE DELLA B.V.MARIA REGINA DEL S.S. ROSARIO</t>
  </si>
  <si>
    <t>UD1A038001</t>
  </si>
  <si>
    <t>Mons. E. Bullian</t>
  </si>
  <si>
    <t>AMPEZZO</t>
  </si>
  <si>
    <t xml:space="preserve">00514170307     </t>
  </si>
  <si>
    <t>SCUOLA MATERNA MONSIGNOR E. BULLIAN</t>
  </si>
  <si>
    <t>UD1A03900R</t>
  </si>
  <si>
    <t>Scuola Materna</t>
  </si>
  <si>
    <t>PAVIA DI UDINE/PERCOTO</t>
  </si>
  <si>
    <t xml:space="preserve">80004210300     </t>
  </si>
  <si>
    <t>PARROCCHIA S. MARTINO VESCOVO</t>
  </si>
  <si>
    <t>UD1A040001</t>
  </si>
  <si>
    <t>Associazione Asilo Infantile</t>
  </si>
  <si>
    <t>PERCOTO/PAVIA DI UDINE</t>
  </si>
  <si>
    <t xml:space="preserve">00603610304     </t>
  </si>
  <si>
    <t>ASSOCIAZIONE ASILO INFANTILE DI PAVIA DI UDINE</t>
  </si>
  <si>
    <t>UD1A04100R</t>
  </si>
  <si>
    <t>San Domenico Savio</t>
  </si>
  <si>
    <t>PRADAMANO</t>
  </si>
  <si>
    <t xml:space="preserve">94030640307     </t>
  </si>
  <si>
    <t>ASSOCIAZ. SCUOLA MATERNA SAN DOMENICO SAVIO</t>
  </si>
  <si>
    <t>UD1A04200L</t>
  </si>
  <si>
    <t>Suore Dimesse</t>
  </si>
  <si>
    <t>PAVIA DI UDINE</t>
  </si>
  <si>
    <t>UD1A04300C</t>
  </si>
  <si>
    <t>Don G. Baradello</t>
  </si>
  <si>
    <t>LATISANA</t>
  </si>
  <si>
    <t xml:space="preserve">83000070306     </t>
  </si>
  <si>
    <t>PARROCCHIA DI SANTA MARIA MADDALENA</t>
  </si>
  <si>
    <t>UD1A044008</t>
  </si>
  <si>
    <t>Rosa De Egregis Gaspari</t>
  </si>
  <si>
    <t xml:space="preserve">83000410304     </t>
  </si>
  <si>
    <t>ASILO INFANTILE" ROSA DE EGREGIS GASPARI"</t>
  </si>
  <si>
    <t>UD1A045004</t>
  </si>
  <si>
    <t>RONCHIS</t>
  </si>
  <si>
    <t xml:space="preserve">83000270302     </t>
  </si>
  <si>
    <t>PARROCCHIA S. ANDREA APOSTOLO - GESTIONE SCUOLA MATERNA MONUMENTO AI CADUTI</t>
  </si>
  <si>
    <t>UD1A04600X</t>
  </si>
  <si>
    <t>Walter Della Longa</t>
  </si>
  <si>
    <t>BASILIANO</t>
  </si>
  <si>
    <t xml:space="preserve">00512210303     </t>
  </si>
  <si>
    <t>SCUOLA MATERNA WALTER DELLA LONGA</t>
  </si>
  <si>
    <t>UD1A04700Q</t>
  </si>
  <si>
    <t>VARIANO/BASILIANO</t>
  </si>
  <si>
    <t>PARROCCHIA SAN GIOVANNI BATTISTA</t>
  </si>
  <si>
    <t>UD1A04800G</t>
  </si>
  <si>
    <t>Maria Del Giudice</t>
  </si>
  <si>
    <t>VISSANDONE/BASILIANO</t>
  </si>
  <si>
    <t xml:space="preserve">00511480303     </t>
  </si>
  <si>
    <t>SCUOLA MATERNA MARIA DEL GIUDICE</t>
  </si>
  <si>
    <t>UD1A04900B</t>
  </si>
  <si>
    <t>REANA DEL ROIALE</t>
  </si>
  <si>
    <t xml:space="preserve">80003610302     </t>
  </si>
  <si>
    <t>PARROCCHIA S. MARIA ASSUNTA - GESTIONE SCUOLA MATERNA</t>
  </si>
  <si>
    <t>UD1A05000G</t>
  </si>
  <si>
    <t>Beata E.Valentinis</t>
  </si>
  <si>
    <t>TRICESIMO</t>
  </si>
  <si>
    <t xml:space="preserve">80007110309     </t>
  </si>
  <si>
    <t>PARROCCHIA SANTA MARIA DELLA PURIFICAZIONE</t>
  </si>
  <si>
    <t>UD1A05100B</t>
  </si>
  <si>
    <t>Don Bernardino Coradazzi</t>
  </si>
  <si>
    <t>VILLA SANTINA</t>
  </si>
  <si>
    <t>UD1A052007</t>
  </si>
  <si>
    <t>Scuola Infanzia Paritaria Associazione crescere con i piccoli A.P.S. - GESTIONE SCUOLA MATERNA MONSIGNOR CASTELLANI</t>
  </si>
  <si>
    <t>ARTEGNA</t>
  </si>
  <si>
    <t xml:space="preserve">02009200300     </t>
  </si>
  <si>
    <t>ASSOCIAZIONE 'CRESCERE CON I PICCOLI'</t>
  </si>
  <si>
    <t>UD1A05400V</t>
  </si>
  <si>
    <t>P. Tarcisio Martina</t>
  </si>
  <si>
    <t>OSPEDALETTO/GEMONA DEL FRIULI</t>
  </si>
  <si>
    <t xml:space="preserve">82001190303     </t>
  </si>
  <si>
    <t>PARROCCHIA DELLO SPIRITO SANTO - GESTIONE SCUOLA MATERNA</t>
  </si>
  <si>
    <t>UD1A05500P</t>
  </si>
  <si>
    <t>Elena Bettini</t>
  </si>
  <si>
    <t>PAGNACCO</t>
  </si>
  <si>
    <t xml:space="preserve">80001270307     </t>
  </si>
  <si>
    <t>UD1A05600E</t>
  </si>
  <si>
    <t>CERVIGNANO DEL FRIULI</t>
  </si>
  <si>
    <t xml:space="preserve">90003860302     </t>
  </si>
  <si>
    <t>PARROCCHIA S. MICHELE ARCANGELO GEST. SC. MAT. MARIA IMMACOLATA</t>
  </si>
  <si>
    <t>UD1A05700A</t>
  </si>
  <si>
    <t>PALMANOVA</t>
  </si>
  <si>
    <t xml:space="preserve">81000110304     </t>
  </si>
  <si>
    <t>PARROCCHIA DEL SANTISSIMO REDENTORE</t>
  </si>
  <si>
    <t>UD1A058006</t>
  </si>
  <si>
    <t>Don A.Marioni</t>
  </si>
  <si>
    <t>FLAIBANO</t>
  </si>
  <si>
    <t>UD1A059002</t>
  </si>
  <si>
    <t>Parrocchiale Beati Coniugi Beltrame</t>
  </si>
  <si>
    <t>TARCENTO</t>
  </si>
  <si>
    <t xml:space="preserve">01881640302     </t>
  </si>
  <si>
    <t>ASSOCIAZ.GESTIONE SCUOLA MATERNA PARROCCHIALE DI TARCENTO</t>
  </si>
  <si>
    <t>UD1A060006</t>
  </si>
  <si>
    <t>Mons. B. Alessio</t>
  </si>
  <si>
    <t>NIMIS</t>
  </si>
  <si>
    <t>UD1A061002</t>
  </si>
  <si>
    <t>Don Antonio Sbaiz</t>
  </si>
  <si>
    <t>SEDEGLIANO</t>
  </si>
  <si>
    <t xml:space="preserve">01787050309     </t>
  </si>
  <si>
    <t>SCUOLA MATERNA DON ANTONIO SBAIZ</t>
  </si>
  <si>
    <t>UD1A06200T</t>
  </si>
  <si>
    <t>CAMINO AL TAGLIAMENTO</t>
  </si>
  <si>
    <t xml:space="preserve">80006430302     </t>
  </si>
  <si>
    <t>PARROCCHIA DI S.MARIA DI PIEVE DI ROSA</t>
  </si>
  <si>
    <t>UD1A06300N</t>
  </si>
  <si>
    <t>Ricordo Ai Caduti</t>
  </si>
  <si>
    <t>GORICIZZA/CODROIPO</t>
  </si>
  <si>
    <t xml:space="preserve">80004550309     </t>
  </si>
  <si>
    <t>UD1A06400D</t>
  </si>
  <si>
    <t>Stella del Mattino</t>
  </si>
  <si>
    <t>CODROIPO</t>
  </si>
  <si>
    <t xml:space="preserve">80004590305     </t>
  </si>
  <si>
    <t>PARROCCHIA DI SANTA MARIA MAGGIORE DI CODROIPO</t>
  </si>
  <si>
    <t>UD1A065009</t>
  </si>
  <si>
    <t>BERTIOLO</t>
  </si>
  <si>
    <t xml:space="preserve">80002290304     </t>
  </si>
  <si>
    <t>PARROCCHIA SAN MARTINO VESCOVO</t>
  </si>
  <si>
    <t>UD1A066005</t>
  </si>
  <si>
    <t>G. Bini</t>
  </si>
  <si>
    <t>VARMO</t>
  </si>
  <si>
    <t xml:space="preserve">80003770304     </t>
  </si>
  <si>
    <t>PARROCCHIA DI S. LORENZO MARTIRE / SCUOLA MATERNA 'G. BINI'</t>
  </si>
  <si>
    <t>UD1A06800R</t>
  </si>
  <si>
    <t>S. Osvaldo</t>
  </si>
  <si>
    <t xml:space="preserve">80004690303     </t>
  </si>
  <si>
    <t>PARROCCHIA DI SAN OSVALDO</t>
  </si>
  <si>
    <t>UD1A06900L</t>
  </si>
  <si>
    <t>Erminia Linda</t>
  </si>
  <si>
    <t>UD1A07100L</t>
  </si>
  <si>
    <t>Nostra Signora Dell'orto</t>
  </si>
  <si>
    <t xml:space="preserve">00468510300     </t>
  </si>
  <si>
    <t>ENTE "COLLEGIO NOSTRA SIGNORA DELL'ORTO"</t>
  </si>
  <si>
    <t>UD1A07200C</t>
  </si>
  <si>
    <t>Mons. D. Cattarossi</t>
  </si>
  <si>
    <t xml:space="preserve">94030010303     </t>
  </si>
  <si>
    <t>SCUOLA MATERNA MONSIGNOR DOMENICO CATTAROSSI</t>
  </si>
  <si>
    <t>UD1A073008</t>
  </si>
  <si>
    <t>Santa Maria Degli Angeli</t>
  </si>
  <si>
    <t>GEMONA DEL FRIULI</t>
  </si>
  <si>
    <t xml:space="preserve">02605730585     </t>
  </si>
  <si>
    <t>CONGREGAZIONE SUORE FRANCESCANE MISSIONARIE DEL S.CUORE</t>
  </si>
  <si>
    <t>UD1A074004</t>
  </si>
  <si>
    <t>Scuola materna Maria Immacolata</t>
  </si>
  <si>
    <t>POZZUOLO DEL FRIULI</t>
  </si>
  <si>
    <t xml:space="preserve">80023040308     </t>
  </si>
  <si>
    <t>PARROCCHIA SANT'ANDREA APOSTOLO</t>
  </si>
  <si>
    <t>UD1A07500X</t>
  </si>
  <si>
    <t>G. Bertoni</t>
  </si>
  <si>
    <t xml:space="preserve">00671830230     </t>
  </si>
  <si>
    <t>PROVINCIA ITALIANA S. CUORE DEI PADRI STIMMATINI</t>
  </si>
  <si>
    <t>UD1A07700G</t>
  </si>
  <si>
    <t>The Mills English School</t>
  </si>
  <si>
    <t xml:space="preserve">02106850304     </t>
  </si>
  <si>
    <t>THE MILLS SRL (COMMERCIALE)</t>
  </si>
  <si>
    <t>UD1A0R500D</t>
  </si>
  <si>
    <t>Scuola Infanzia Udine</t>
  </si>
  <si>
    <t>02747410302</t>
  </si>
  <si>
    <t>SISTEMI FORMATIVI COOP.SOC. A R.L.</t>
  </si>
  <si>
    <t>TOTALI GENERALI</t>
  </si>
  <si>
    <t>Ordine scuola</t>
  </si>
  <si>
    <t>tot</t>
  </si>
  <si>
    <t>Gorizia</t>
  </si>
  <si>
    <t>Primaria</t>
  </si>
  <si>
    <t>GO1E00100A</t>
  </si>
  <si>
    <t>SANT'ANGELA MERICI</t>
  </si>
  <si>
    <t>01156810317</t>
  </si>
  <si>
    <t>ABIMIS SOC.COOP.SOCIALE ONLUS</t>
  </si>
  <si>
    <t>GO1EUT5002</t>
  </si>
  <si>
    <t>EDUCARE WALDORF FVG</t>
  </si>
  <si>
    <t>01120990310</t>
  </si>
  <si>
    <t>EDUCARE WALDORF FVG COOPERATIVA SOCIALE ONLUS</t>
  </si>
  <si>
    <t>GO1E002006</t>
  </si>
  <si>
    <t>WALDORF SILVANA CORAZZA</t>
  </si>
  <si>
    <t>Pordenone</t>
  </si>
  <si>
    <t>PN1E001008</t>
  </si>
  <si>
    <t>E. VENDRAMINI</t>
  </si>
  <si>
    <t xml:space="preserve">01247850934     </t>
  </si>
  <si>
    <t>COMUNITA' EDUCANTE ELISABETTA VENDRAMINI</t>
  </si>
  <si>
    <t>PN1E002004</t>
  </si>
  <si>
    <t>SAN GIORGIO</t>
  </si>
  <si>
    <t>00198410938</t>
  </si>
  <si>
    <t>COLLEGIO DON BOSCO</t>
  </si>
  <si>
    <t>Trieste</t>
  </si>
  <si>
    <t>TS1E001006</t>
  </si>
  <si>
    <t>ISTITUTO BEATA VERGINE</t>
  </si>
  <si>
    <t>TS1E00300T</t>
  </si>
  <si>
    <t>EUROPEAN SCHOOL OF TRIESTE</t>
  </si>
  <si>
    <t>TS1E00400N</t>
  </si>
  <si>
    <t>ANCELLE DELLA CARITA'</t>
  </si>
  <si>
    <t>TS1E00500D</t>
  </si>
  <si>
    <t>COLLEGIO DIMESSE</t>
  </si>
  <si>
    <t>TS1E006009</t>
  </si>
  <si>
    <t>MONTESSORI S.GIUSTO</t>
  </si>
  <si>
    <t>TS1E007005</t>
  </si>
  <si>
    <t>S. MORPURGO - COMUNITA' EBRAICA DI TRIESTE</t>
  </si>
  <si>
    <t xml:space="preserve">80012510329     </t>
  </si>
  <si>
    <t>COMUNITA' EBRAICA DI TRIESTE</t>
  </si>
  <si>
    <t>TS1E008001</t>
  </si>
  <si>
    <t>ISTITUTO SACRO CUORE DI GESU' - CLARISSE</t>
  </si>
  <si>
    <t>Udine</t>
  </si>
  <si>
    <t>UD1E002004</t>
  </si>
  <si>
    <t>COLLEGIO D. PROVVIDENZA</t>
  </si>
  <si>
    <t xml:space="preserve">80000550303     </t>
  </si>
  <si>
    <t>COLLEGIO DELLA PROVVIDENZA</t>
  </si>
  <si>
    <t>UD1E00300X</t>
  </si>
  <si>
    <t>NOSTRA SIGNORA DELL'ORTO</t>
  </si>
  <si>
    <t>UD1E00400Q</t>
  </si>
  <si>
    <t>NOEMI NIGRIS</t>
  </si>
  <si>
    <t xml:space="preserve">01731720304     </t>
  </si>
  <si>
    <t>SCUOLA PRIMARIA NOEMI NIGRIS SOC. COOP. SOCIALE ONLUS</t>
  </si>
  <si>
    <t>UD1E00500G</t>
  </si>
  <si>
    <t>BEARZI</t>
  </si>
  <si>
    <t xml:space="preserve">00467590303     </t>
  </si>
  <si>
    <t>CASA SALESIANA ISTITUTO SALESIANO G.BEARZI</t>
  </si>
  <si>
    <t>UD1E00600B</t>
  </si>
  <si>
    <t>G.BERTONI</t>
  </si>
  <si>
    <t>UD1E008003</t>
  </si>
  <si>
    <t>S.MARIA DEGLI ANGELI</t>
  </si>
  <si>
    <t>UD1E00900V</t>
  </si>
  <si>
    <t>DON BOSCO</t>
  </si>
  <si>
    <t xml:space="preserve">00470880303     </t>
  </si>
  <si>
    <t>COLLEGIO SALESIANO DON BOSCO</t>
  </si>
  <si>
    <t>UD1E010003</t>
  </si>
  <si>
    <t>THE MILLS ENGLISH SCHOOL</t>
  </si>
  <si>
    <t>THE MILLS SRL</t>
  </si>
  <si>
    <t>UD1EM3500M</t>
  </si>
  <si>
    <t>CECILIA DANIELI</t>
  </si>
  <si>
    <t>03018670301</t>
  </si>
  <si>
    <t>ZEROTREDICI POLO FORMATIVO S.R.L.</t>
  </si>
  <si>
    <t>TOTALI</t>
  </si>
  <si>
    <t>Ordine Scuola Secondaria</t>
  </si>
  <si>
    <t>Classi PARITARIE</t>
  </si>
  <si>
    <t>Primo Grado</t>
  </si>
  <si>
    <t>GO1MGQ500P</t>
  </si>
  <si>
    <t>PN1M00100D</t>
  </si>
  <si>
    <t>VENDRAMINI</t>
  </si>
  <si>
    <t>PN1M002009</t>
  </si>
  <si>
    <t xml:space="preserve">00198410938     </t>
  </si>
  <si>
    <t>TS1M003003</t>
  </si>
  <si>
    <t>UD1M002009</t>
  </si>
  <si>
    <t>MONS. CAMILLO DI GASPERO</t>
  </si>
  <si>
    <t xml:space="preserve">00458380300     </t>
  </si>
  <si>
    <t>SCUOLA NUOVA DI TARCENTO SOCIETA' COOPERATIVA SOCIALE A R.L.</t>
  </si>
  <si>
    <t>UD1M003005</t>
  </si>
  <si>
    <t>UD1M008008</t>
  </si>
  <si>
    <t>M.C.NANNEI COLLEGIO DIMESSE</t>
  </si>
  <si>
    <t>UD1M00700C</t>
  </si>
  <si>
    <t>G. BERTONI</t>
  </si>
  <si>
    <t>UD1M00100D</t>
  </si>
  <si>
    <t>UD1M00600L</t>
  </si>
  <si>
    <t>G. BEARZI</t>
  </si>
  <si>
    <t>UD1M009004</t>
  </si>
  <si>
    <t>THE MILLS ENGLISH SCHOOL (commerciale)</t>
  </si>
  <si>
    <t>UD1MD8500H</t>
  </si>
  <si>
    <t>A. VOLTA</t>
  </si>
  <si>
    <t xml:space="preserve">02743420305     </t>
  </si>
  <si>
    <t>VOLTA-SOCIETA' COOPERATIVA SOCIALE</t>
  </si>
  <si>
    <t>UD1MC15002</t>
  </si>
  <si>
    <t>ZEROTREDICI POLO FORMATIVO</t>
  </si>
  <si>
    <t>ZEROTREDICI POLO FORMATIVO S.R.L. (COMMERCIALE)</t>
  </si>
  <si>
    <t>Secondo Grado</t>
  </si>
  <si>
    <t>PNPS03500L</t>
  </si>
  <si>
    <t>VENDRAMINI Liceo Scientifico</t>
  </si>
  <si>
    <t>PNPS9G5000</t>
  </si>
  <si>
    <t>VENDRAMINI Liceo Scientifico Opz. Scienze Applicate</t>
  </si>
  <si>
    <t>PNTD7Z500U</t>
  </si>
  <si>
    <t>NAONIS STUDIUM - ISTITUTO DIECIPUNTOZERO I.T.C.</t>
  </si>
  <si>
    <t>91079660931</t>
  </si>
  <si>
    <t>FONDAZIONE OPERA SACRA FAMIGLIA</t>
  </si>
  <si>
    <t>UDTF00500V</t>
  </si>
  <si>
    <t>G. BEARZI Tecnico industriale informatico</t>
  </si>
  <si>
    <t>UDTFI2500I</t>
  </si>
  <si>
    <t>G. BEARZI Tecnico industriale meccatronico</t>
  </si>
  <si>
    <t>UDPC00500N</t>
  </si>
  <si>
    <t xml:space="preserve">BERTONI GASPARE Liceo Classico </t>
  </si>
  <si>
    <t>UDPS01500B</t>
  </si>
  <si>
    <t xml:space="preserve">BERTONI GASPARE Liceo Scientifico </t>
  </si>
  <si>
    <t>UDPLO3500Z</t>
  </si>
  <si>
    <t>BERTONI GASPARE Liceo Linguistico</t>
  </si>
  <si>
    <t>UDPS0G500U</t>
  </si>
  <si>
    <t>A. VOLTA Liceo Scientifico opzione scienze applicate</t>
  </si>
  <si>
    <t>UDTBCH500I</t>
  </si>
  <si>
    <t>UMBERTO NOBILE Istituto Tecnico Aeronautico</t>
  </si>
  <si>
    <t xml:space="preserve">02607830300     </t>
  </si>
  <si>
    <t>AIRMAN s.r.l. (commerciale)</t>
  </si>
  <si>
    <t>UDPSBD500N</t>
  </si>
  <si>
    <t>A. VOLTA Liceo Scientifico Sportivo</t>
  </si>
  <si>
    <t>UDPSMD500L</t>
  </si>
  <si>
    <t>DON MILANI Liceo Scientifico</t>
  </si>
  <si>
    <t>01780280309</t>
  </si>
  <si>
    <t>EXCOL S.R.L. (commerciale)</t>
  </si>
  <si>
    <t>Classi</t>
  </si>
  <si>
    <t>n° alunni comunicati in sede di avvio anno scolastico 2021/22</t>
  </si>
  <si>
    <t>UD1E001008</t>
  </si>
  <si>
    <t>172 scuole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</si>
</sst>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5" x14ac:knownFonts="1">
    <font>
      <sz val="10"/>
      <name val="Verdana"/>
    </font>
    <font>
      <sz val="10"/>
      <name val="Verdana"/>
    </font>
    <font>
      <sz val="8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Times New Roman"/>
      <family val="1"/>
    </font>
    <font>
      <b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0">
    <xf numFmtId="0" fontId="0" fillId="0" borderId="0" xfId="0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3" fontId="4" fillId="2" borderId="1" xfId="0" applyNumberFormat="1" applyFont="1" applyFill="1" applyBorder="1" applyAlignment="1">
      <alignment horizontal="center" vertical="center" textRotation="90"/>
    </xf>
    <xf numFmtId="3" fontId="8" fillId="0" borderId="0" xfId="0" applyNumberFormat="1" applyFont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4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3" fillId="0" borderId="1" xfId="0" applyFont="1" applyBorder="1"/>
    <xf numFmtId="3" fontId="13" fillId="0" borderId="1" xfId="0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3" fillId="0" borderId="4" xfId="0" applyFont="1" applyBorder="1"/>
    <xf numFmtId="3" fontId="13" fillId="0" borderId="4" xfId="0" applyNumberFormat="1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9" xfId="0" applyFont="1" applyBorder="1"/>
    <xf numFmtId="0" fontId="13" fillId="0" borderId="9" xfId="0" applyFont="1" applyBorder="1" applyAlignment="1">
      <alignment wrapText="1"/>
    </xf>
    <xf numFmtId="3" fontId="13" fillId="0" borderId="9" xfId="0" applyNumberFormat="1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13" fillId="0" borderId="5" xfId="0" applyFont="1" applyBorder="1"/>
    <xf numFmtId="0" fontId="13" fillId="0" borderId="11" xfId="0" applyFont="1" applyBorder="1"/>
    <xf numFmtId="0" fontId="13" fillId="0" borderId="11" xfId="0" applyFont="1" applyBorder="1" applyAlignment="1">
      <alignment wrapText="1"/>
    </xf>
    <xf numFmtId="3" fontId="13" fillId="0" borderId="11" xfId="0" applyNumberFormat="1" applyFont="1" applyBorder="1" applyAlignment="1">
      <alignment horizontal="center"/>
    </xf>
    <xf numFmtId="3" fontId="14" fillId="0" borderId="11" xfId="0" applyNumberFormat="1" applyFont="1" applyBorder="1" applyAlignment="1">
      <alignment horizontal="center"/>
    </xf>
    <xf numFmtId="0" fontId="13" fillId="0" borderId="12" xfId="0" applyFont="1" applyBorder="1"/>
    <xf numFmtId="0" fontId="13" fillId="0" borderId="12" xfId="0" applyFont="1" applyBorder="1" applyAlignment="1">
      <alignment wrapText="1"/>
    </xf>
    <xf numFmtId="3" fontId="13" fillId="0" borderId="12" xfId="0" applyNumberFormat="1" applyFont="1" applyBorder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wrapText="1"/>
    </xf>
    <xf numFmtId="3" fontId="13" fillId="0" borderId="7" xfId="0" applyNumberFormat="1" applyFont="1" applyBorder="1" applyAlignment="1">
      <alignment horizontal="center"/>
    </xf>
    <xf numFmtId="0" fontId="13" fillId="0" borderId="8" xfId="0" applyFont="1" applyBorder="1"/>
    <xf numFmtId="3" fontId="14" fillId="0" borderId="8" xfId="0" applyNumberFormat="1" applyFont="1" applyBorder="1" applyAlignment="1">
      <alignment horizontal="center"/>
    </xf>
    <xf numFmtId="0" fontId="13" fillId="0" borderId="14" xfId="0" applyFont="1" applyBorder="1" applyAlignment="1">
      <alignment wrapText="1"/>
    </xf>
    <xf numFmtId="3" fontId="13" fillId="0" borderId="5" xfId="0" applyNumberFormat="1" applyFont="1" applyBorder="1" applyAlignment="1">
      <alignment horizontal="center"/>
    </xf>
    <xf numFmtId="3" fontId="13" fillId="0" borderId="14" xfId="0" applyNumberFormat="1" applyFont="1" applyBorder="1" applyAlignment="1">
      <alignment horizontal="center"/>
    </xf>
    <xf numFmtId="0" fontId="13" fillId="0" borderId="14" xfId="0" applyFont="1" applyBorder="1"/>
    <xf numFmtId="0" fontId="4" fillId="2" borderId="1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3" borderId="1" xfId="0" applyFont="1" applyFill="1" applyBorder="1"/>
    <xf numFmtId="0" fontId="8" fillId="0" borderId="0" xfId="0" applyFont="1" applyAlignment="1">
      <alignment vertical="center" wrapText="1"/>
    </xf>
    <xf numFmtId="0" fontId="13" fillId="3" borderId="4" xfId="0" applyFont="1" applyFill="1" applyBorder="1"/>
    <xf numFmtId="0" fontId="13" fillId="3" borderId="4" xfId="0" applyFont="1" applyFill="1" applyBorder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0" fontId="8" fillId="3" borderId="0" xfId="0" applyFont="1" applyFill="1"/>
    <xf numFmtId="0" fontId="13" fillId="3" borderId="9" xfId="0" applyFont="1" applyFill="1" applyBorder="1"/>
    <xf numFmtId="0" fontId="13" fillId="3" borderId="11" xfId="0" applyFont="1" applyFill="1" applyBorder="1"/>
    <xf numFmtId="0" fontId="13" fillId="3" borderId="12" xfId="0" applyFont="1" applyFill="1" applyBorder="1"/>
    <xf numFmtId="0" fontId="13" fillId="3" borderId="7" xfId="0" applyFont="1" applyFill="1" applyBorder="1"/>
    <xf numFmtId="0" fontId="13" fillId="3" borderId="12" xfId="0" applyFont="1" applyFill="1" applyBorder="1" applyAlignment="1">
      <alignment wrapText="1"/>
    </xf>
    <xf numFmtId="0" fontId="13" fillId="3" borderId="7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13" fillId="3" borderId="11" xfId="0" applyFont="1" applyFill="1" applyBorder="1" applyAlignment="1">
      <alignment wrapText="1"/>
    </xf>
    <xf numFmtId="0" fontId="13" fillId="3" borderId="16" xfId="0" applyFont="1" applyFill="1" applyBorder="1"/>
    <xf numFmtId="0" fontId="13" fillId="3" borderId="16" xfId="0" applyFont="1" applyFill="1" applyBorder="1" applyAlignment="1">
      <alignment wrapText="1"/>
    </xf>
    <xf numFmtId="0" fontId="14" fillId="0" borderId="17" xfId="0" applyFont="1" applyBorder="1"/>
    <xf numFmtId="0" fontId="13" fillId="3" borderId="8" xfId="0" applyFont="1" applyFill="1" applyBorder="1"/>
    <xf numFmtId="3" fontId="13" fillId="0" borderId="0" xfId="0" applyNumberFormat="1" applyFont="1"/>
    <xf numFmtId="0" fontId="13" fillId="3" borderId="1" xfId="0" applyFont="1" applyFill="1" applyBorder="1" applyAlignment="1">
      <alignment horizontal="left" wrapText="1"/>
    </xf>
    <xf numFmtId="3" fontId="13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left" wrapText="1"/>
    </xf>
    <xf numFmtId="3" fontId="14" fillId="3" borderId="4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3" fontId="8" fillId="3" borderId="0" xfId="0" applyNumberFormat="1" applyFont="1" applyFill="1"/>
    <xf numFmtId="0" fontId="13" fillId="3" borderId="18" xfId="0" applyFont="1" applyFill="1" applyBorder="1"/>
    <xf numFmtId="0" fontId="13" fillId="3" borderId="5" xfId="0" applyFont="1" applyFill="1" applyBorder="1" applyAlignment="1">
      <alignment wrapText="1"/>
    </xf>
    <xf numFmtId="0" fontId="13" fillId="3" borderId="5" xfId="0" applyFont="1" applyFill="1" applyBorder="1" applyAlignment="1">
      <alignment horizontal="left" wrapText="1"/>
    </xf>
    <xf numFmtId="3" fontId="13" fillId="3" borderId="9" xfId="0" applyNumberFormat="1" applyFont="1" applyFill="1" applyBorder="1" applyAlignment="1">
      <alignment horizontal="center"/>
    </xf>
    <xf numFmtId="0" fontId="13" fillId="3" borderId="19" xfId="0" applyFont="1" applyFill="1" applyBorder="1"/>
    <xf numFmtId="3" fontId="13" fillId="3" borderId="7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left" wrapText="1"/>
    </xf>
    <xf numFmtId="3" fontId="13" fillId="3" borderId="11" xfId="0" applyNumberFormat="1" applyFont="1" applyFill="1" applyBorder="1" applyAlignment="1">
      <alignment horizontal="center"/>
    </xf>
    <xf numFmtId="0" fontId="13" fillId="3" borderId="0" xfId="0" applyFont="1" applyFill="1"/>
    <xf numFmtId="3" fontId="13" fillId="3" borderId="16" xfId="0" applyNumberFormat="1" applyFont="1" applyFill="1" applyBorder="1" applyAlignment="1">
      <alignment horizontal="center"/>
    </xf>
    <xf numFmtId="0" fontId="13" fillId="3" borderId="14" xfId="0" applyFont="1" applyFill="1" applyBorder="1"/>
    <xf numFmtId="0" fontId="13" fillId="3" borderId="14" xfId="0" applyFont="1" applyFill="1" applyBorder="1" applyAlignment="1">
      <alignment wrapText="1"/>
    </xf>
    <xf numFmtId="0" fontId="14" fillId="3" borderId="20" xfId="0" applyFont="1" applyFill="1" applyBorder="1"/>
    <xf numFmtId="0" fontId="13" fillId="3" borderId="21" xfId="0" applyFont="1" applyFill="1" applyBorder="1"/>
    <xf numFmtId="3" fontId="14" fillId="3" borderId="8" xfId="0" applyNumberFormat="1" applyFont="1" applyFill="1" applyBorder="1"/>
    <xf numFmtId="3" fontId="14" fillId="3" borderId="8" xfId="0" applyNumberFormat="1" applyFont="1" applyFill="1" applyBorder="1" applyAlignment="1">
      <alignment horizontal="center"/>
    </xf>
    <xf numFmtId="4" fontId="8" fillId="3" borderId="0" xfId="0" applyNumberFormat="1" applyFont="1" applyFill="1"/>
    <xf numFmtId="0" fontId="8" fillId="3" borderId="0" xfId="0" applyFont="1" applyFill="1" applyAlignment="1">
      <alignment wrapText="1"/>
    </xf>
    <xf numFmtId="0" fontId="10" fillId="3" borderId="0" xfId="0" applyFont="1" applyFill="1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3" fillId="3" borderId="14" xfId="0" applyFont="1" applyFill="1" applyBorder="1" applyAlignment="1">
      <alignment horizontal="left"/>
    </xf>
    <xf numFmtId="0" fontId="13" fillId="3" borderId="14" xfId="0" applyFont="1" applyFill="1" applyBorder="1" applyAlignment="1">
      <alignment horizontal="left" wrapText="1"/>
    </xf>
    <xf numFmtId="0" fontId="8" fillId="3" borderId="0" xfId="0" applyFont="1" applyFill="1" applyAlignment="1">
      <alignment vertical="top"/>
    </xf>
    <xf numFmtId="0" fontId="3" fillId="3" borderId="0" xfId="0" applyFont="1" applyFill="1"/>
    <xf numFmtId="4" fontId="3" fillId="3" borderId="0" xfId="0" applyNumberFormat="1" applyFont="1" applyFill="1" applyAlignment="1">
      <alignment horizontal="center" vertical="center" wrapText="1"/>
    </xf>
    <xf numFmtId="0" fontId="13" fillId="3" borderId="9" xfId="0" applyFont="1" applyFill="1" applyBorder="1" applyAlignment="1">
      <alignment horizontal="left" wrapText="1"/>
    </xf>
    <xf numFmtId="3" fontId="14" fillId="3" borderId="9" xfId="0" applyNumberFormat="1" applyFont="1" applyFill="1" applyBorder="1" applyAlignment="1">
      <alignment horizontal="center"/>
    </xf>
    <xf numFmtId="0" fontId="13" fillId="3" borderId="11" xfId="0" applyFont="1" applyFill="1" applyBorder="1" applyAlignment="1">
      <alignment horizontal="left" wrapText="1"/>
    </xf>
    <xf numFmtId="0" fontId="13" fillId="3" borderId="22" xfId="0" applyFont="1" applyFill="1" applyBorder="1" applyAlignment="1">
      <alignment horizontal="left" wrapText="1"/>
    </xf>
    <xf numFmtId="3" fontId="14" fillId="3" borderId="11" xfId="0" applyNumberFormat="1" applyFont="1" applyFill="1" applyBorder="1" applyAlignment="1">
      <alignment horizontal="center"/>
    </xf>
    <xf numFmtId="0" fontId="13" fillId="3" borderId="23" xfId="0" applyFont="1" applyFill="1" applyBorder="1"/>
    <xf numFmtId="0" fontId="13" fillId="3" borderId="23" xfId="0" applyFont="1" applyFill="1" applyBorder="1" applyAlignment="1">
      <alignment horizontal="left" wrapText="1"/>
    </xf>
    <xf numFmtId="3" fontId="13" fillId="3" borderId="23" xfId="0" applyNumberFormat="1" applyFont="1" applyFill="1" applyBorder="1" applyAlignment="1">
      <alignment horizontal="center"/>
    </xf>
    <xf numFmtId="0" fontId="13" fillId="3" borderId="7" xfId="0" applyFont="1" applyFill="1" applyBorder="1" applyAlignment="1">
      <alignment horizontal="left" wrapText="1"/>
    </xf>
    <xf numFmtId="0" fontId="13" fillId="3" borderId="16" xfId="0" applyFont="1" applyFill="1" applyBorder="1" applyAlignment="1">
      <alignment horizontal="left" wrapText="1"/>
    </xf>
    <xf numFmtId="0" fontId="13" fillId="3" borderId="17" xfId="0" applyFont="1" applyFill="1" applyBorder="1"/>
    <xf numFmtId="0" fontId="13" fillId="3" borderId="8" xfId="0" applyFont="1" applyFill="1" applyBorder="1" applyAlignment="1">
      <alignment vertical="top" wrapText="1"/>
    </xf>
    <xf numFmtId="0" fontId="13" fillId="3" borderId="8" xfId="0" applyFont="1" applyFill="1" applyBorder="1" applyAlignment="1">
      <alignment horizontal="left" wrapText="1"/>
    </xf>
    <xf numFmtId="0" fontId="9" fillId="3" borderId="0" xfId="0" applyFont="1" applyFill="1"/>
    <xf numFmtId="0" fontId="8" fillId="3" borderId="0" xfId="0" applyFont="1" applyFill="1" applyAlignment="1">
      <alignment horizontal="left" wrapText="1"/>
    </xf>
    <xf numFmtId="3" fontId="8" fillId="3" borderId="0" xfId="0" applyNumberFormat="1" applyFont="1" applyFill="1" applyAlignment="1">
      <alignment wrapText="1"/>
    </xf>
    <xf numFmtId="0" fontId="8" fillId="3" borderId="3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wrapText="1"/>
    </xf>
    <xf numFmtId="0" fontId="8" fillId="0" borderId="0" xfId="0" applyFont="1" applyAlignment="1">
      <alignment horizontal="left" vertical="center"/>
    </xf>
    <xf numFmtId="4" fontId="3" fillId="0" borderId="3" xfId="0" applyNumberFormat="1" applyFont="1" applyBorder="1" applyAlignment="1">
      <alignment vertical="center" wrapText="1"/>
    </xf>
    <xf numFmtId="0" fontId="8" fillId="3" borderId="3" xfId="0" applyFont="1" applyFill="1" applyBorder="1" applyAlignment="1">
      <alignment vertical="center"/>
    </xf>
    <xf numFmtId="3" fontId="8" fillId="0" borderId="3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3" fontId="14" fillId="4" borderId="14" xfId="0" applyNumberFormat="1" applyFont="1" applyFill="1" applyBorder="1" applyAlignment="1">
      <alignment horizontal="center" vertical="center"/>
    </xf>
    <xf numFmtId="3" fontId="14" fillId="4" borderId="26" xfId="0" applyNumberFormat="1" applyFont="1" applyFill="1" applyBorder="1" applyAlignment="1">
      <alignment horizontal="center" vertical="center"/>
    </xf>
    <xf numFmtId="3" fontId="14" fillId="4" borderId="27" xfId="0" applyNumberFormat="1" applyFont="1" applyFill="1" applyBorder="1" applyAlignment="1">
      <alignment horizontal="center" vertical="center"/>
    </xf>
    <xf numFmtId="3" fontId="14" fillId="4" borderId="28" xfId="0" applyNumberFormat="1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/>
    </xf>
    <xf numFmtId="0" fontId="14" fillId="0" borderId="8" xfId="0" applyFont="1" applyBorder="1"/>
    <xf numFmtId="3" fontId="13" fillId="0" borderId="8" xfId="0" applyNumberFormat="1" applyFont="1" applyBorder="1" applyAlignment="1">
      <alignment horizontal="center"/>
    </xf>
    <xf numFmtId="49" fontId="13" fillId="0" borderId="22" xfId="0" applyNumberFormat="1" applyFont="1" applyBorder="1" applyAlignment="1">
      <alignment horizontal="left" wrapText="1"/>
    </xf>
    <xf numFmtId="3" fontId="14" fillId="4" borderId="30" xfId="0" applyNumberFormat="1" applyFont="1" applyFill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0" fontId="13" fillId="3" borderId="24" xfId="0" applyFont="1" applyFill="1" applyBorder="1"/>
    <xf numFmtId="0" fontId="13" fillId="3" borderId="24" xfId="0" applyFont="1" applyFill="1" applyBorder="1" applyAlignment="1">
      <alignment wrapText="1"/>
    </xf>
    <xf numFmtId="0" fontId="13" fillId="3" borderId="6" xfId="0" applyFont="1" applyFill="1" applyBorder="1"/>
    <xf numFmtId="0" fontId="13" fillId="3" borderId="31" xfId="0" applyFont="1" applyFill="1" applyBorder="1"/>
    <xf numFmtId="0" fontId="13" fillId="3" borderId="31" xfId="0" applyFont="1" applyFill="1" applyBorder="1" applyAlignment="1">
      <alignment wrapText="1"/>
    </xf>
    <xf numFmtId="49" fontId="13" fillId="3" borderId="4" xfId="0" applyNumberFormat="1" applyFont="1" applyFill="1" applyBorder="1" applyAlignment="1">
      <alignment wrapText="1"/>
    </xf>
    <xf numFmtId="0" fontId="13" fillId="0" borderId="24" xfId="0" applyFont="1" applyBorder="1"/>
    <xf numFmtId="0" fontId="13" fillId="0" borderId="24" xfId="0" applyFont="1" applyBorder="1" applyAlignment="1">
      <alignment wrapText="1"/>
    </xf>
    <xf numFmtId="3" fontId="13" fillId="0" borderId="24" xfId="0" applyNumberFormat="1" applyFont="1" applyBorder="1" applyAlignment="1">
      <alignment horizontal="center"/>
    </xf>
    <xf numFmtId="3" fontId="14" fillId="0" borderId="10" xfId="0" applyNumberFormat="1" applyFont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3" fontId="13" fillId="0" borderId="13" xfId="0" applyNumberFormat="1" applyFont="1" applyBorder="1" applyAlignment="1">
      <alignment horizontal="center"/>
    </xf>
    <xf numFmtId="3" fontId="13" fillId="0" borderId="16" xfId="0" applyNumberFormat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49" fontId="13" fillId="0" borderId="1" xfId="0" applyNumberFormat="1" applyFont="1" applyBorder="1" applyAlignment="1" applyProtection="1">
      <alignment horizontal="left" wrapText="1"/>
      <protection locked="0"/>
    </xf>
    <xf numFmtId="3" fontId="13" fillId="3" borderId="4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49" fontId="13" fillId="0" borderId="5" xfId="0" applyNumberFormat="1" applyFont="1" applyBorder="1" applyAlignment="1" applyProtection="1">
      <alignment horizontal="left" wrapText="1"/>
      <protection locked="0"/>
    </xf>
    <xf numFmtId="49" fontId="13" fillId="0" borderId="14" xfId="0" applyNumberFormat="1" applyFont="1" applyBorder="1" applyAlignment="1" applyProtection="1">
      <alignment horizontal="left" wrapText="1"/>
      <protection locked="0"/>
    </xf>
    <xf numFmtId="49" fontId="13" fillId="0" borderId="4" xfId="0" applyNumberFormat="1" applyFont="1" applyBorder="1" applyAlignment="1" applyProtection="1">
      <alignment horizontal="left" wrapText="1"/>
      <protection locked="0"/>
    </xf>
    <xf numFmtId="0" fontId="13" fillId="0" borderId="4" xfId="0" applyFont="1" applyBorder="1" applyAlignment="1">
      <alignment horizontal="center" wrapText="1"/>
    </xf>
    <xf numFmtId="0" fontId="13" fillId="3" borderId="8" xfId="0" applyFont="1" applyFill="1" applyBorder="1" applyAlignment="1">
      <alignment horizontal="center"/>
    </xf>
    <xf numFmtId="49" fontId="13" fillId="3" borderId="4" xfId="0" applyNumberFormat="1" applyFont="1" applyFill="1" applyBorder="1"/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3" fontId="13" fillId="0" borderId="34" xfId="0" applyNumberFormat="1" applyFont="1" applyBorder="1" applyAlignment="1">
      <alignment horizontal="center"/>
    </xf>
    <xf numFmtId="3" fontId="13" fillId="0" borderId="35" xfId="0" applyNumberFormat="1" applyFont="1" applyBorder="1" applyAlignment="1">
      <alignment horizontal="center"/>
    </xf>
    <xf numFmtId="3" fontId="13" fillId="0" borderId="36" xfId="0" applyNumberFormat="1" applyFont="1" applyBorder="1" applyAlignment="1">
      <alignment horizontal="center"/>
    </xf>
    <xf numFmtId="3" fontId="13" fillId="3" borderId="34" xfId="0" applyNumberFormat="1" applyFont="1" applyFill="1" applyBorder="1" applyAlignment="1">
      <alignment horizontal="center"/>
    </xf>
    <xf numFmtId="3" fontId="13" fillId="3" borderId="35" xfId="0" applyNumberFormat="1" applyFont="1" applyFill="1" applyBorder="1" applyAlignment="1">
      <alignment horizontal="center"/>
    </xf>
    <xf numFmtId="3" fontId="14" fillId="4" borderId="1" xfId="0" applyNumberFormat="1" applyFont="1" applyFill="1" applyBorder="1" applyAlignment="1">
      <alignment horizontal="center" vertical="center"/>
    </xf>
    <xf numFmtId="0" fontId="13" fillId="3" borderId="37" xfId="0" applyFont="1" applyFill="1" applyBorder="1"/>
    <xf numFmtId="3" fontId="14" fillId="3" borderId="37" xfId="0" applyNumberFormat="1" applyFont="1" applyFill="1" applyBorder="1" applyAlignment="1">
      <alignment horizontal="center"/>
    </xf>
    <xf numFmtId="3" fontId="13" fillId="3" borderId="37" xfId="0" applyNumberFormat="1" applyFont="1" applyFill="1" applyBorder="1"/>
    <xf numFmtId="3" fontId="3" fillId="2" borderId="39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0" fontId="13" fillId="0" borderId="40" xfId="0" applyFont="1" applyBorder="1"/>
    <xf numFmtId="0" fontId="13" fillId="0" borderId="29" xfId="0" applyFont="1" applyBorder="1" applyAlignment="1">
      <alignment wrapText="1"/>
    </xf>
    <xf numFmtId="49" fontId="13" fillId="0" borderId="1" xfId="0" applyNumberFormat="1" applyFont="1" applyBorder="1" applyAlignment="1">
      <alignment horizontal="center" wrapText="1"/>
    </xf>
    <xf numFmtId="49" fontId="13" fillId="0" borderId="4" xfId="0" applyNumberFormat="1" applyFont="1" applyBorder="1" applyAlignment="1">
      <alignment horizontal="center" wrapText="1"/>
    </xf>
    <xf numFmtId="49" fontId="13" fillId="0" borderId="4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14" fillId="3" borderId="41" xfId="0" applyNumberFormat="1" applyFont="1" applyFill="1" applyBorder="1" applyAlignment="1">
      <alignment horizontal="center"/>
    </xf>
    <xf numFmtId="3" fontId="13" fillId="5" borderId="5" xfId="0" applyNumberFormat="1" applyFont="1" applyFill="1" applyBorder="1" applyAlignment="1">
      <alignment horizontal="center"/>
    </xf>
    <xf numFmtId="3" fontId="13" fillId="5" borderId="4" xfId="0" applyNumberFormat="1" applyFont="1" applyFill="1" applyBorder="1" applyAlignment="1">
      <alignment horizontal="center"/>
    </xf>
    <xf numFmtId="3" fontId="13" fillId="5" borderId="1" xfId="0" applyNumberFormat="1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3" fontId="13" fillId="5" borderId="25" xfId="0" applyNumberFormat="1" applyFont="1" applyFill="1" applyBorder="1" applyAlignment="1">
      <alignment horizontal="center"/>
    </xf>
    <xf numFmtId="3" fontId="13" fillId="5" borderId="44" xfId="0" applyNumberFormat="1" applyFont="1" applyFill="1" applyBorder="1" applyAlignment="1">
      <alignment horizontal="center"/>
    </xf>
    <xf numFmtId="3" fontId="13" fillId="5" borderId="31" xfId="0" applyNumberFormat="1" applyFont="1" applyFill="1" applyBorder="1" applyAlignment="1">
      <alignment horizontal="center"/>
    </xf>
    <xf numFmtId="3" fontId="13" fillId="5" borderId="45" xfId="0" applyNumberFormat="1" applyFont="1" applyFill="1" applyBorder="1" applyAlignment="1">
      <alignment horizontal="center"/>
    </xf>
    <xf numFmtId="3" fontId="13" fillId="5" borderId="46" xfId="0" applyNumberFormat="1" applyFont="1" applyFill="1" applyBorder="1" applyAlignment="1">
      <alignment horizontal="center"/>
    </xf>
    <xf numFmtId="3" fontId="13" fillId="5" borderId="33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3" fontId="13" fillId="5" borderId="14" xfId="0" applyNumberFormat="1" applyFont="1" applyFill="1" applyBorder="1" applyAlignment="1">
      <alignment horizontal="center"/>
    </xf>
    <xf numFmtId="0" fontId="13" fillId="5" borderId="4" xfId="0" applyFont="1" applyFill="1" applyBorder="1"/>
    <xf numFmtId="3" fontId="14" fillId="3" borderId="14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 applyProtection="1">
      <alignment horizontal="left" wrapText="1"/>
      <protection locked="0"/>
    </xf>
    <xf numFmtId="49" fontId="13" fillId="3" borderId="1" xfId="0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3" fontId="8" fillId="3" borderId="3" xfId="0" applyNumberFormat="1" applyFont="1" applyFill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wrapText="1"/>
    </xf>
    <xf numFmtId="0" fontId="14" fillId="0" borderId="32" xfId="0" applyFont="1" applyBorder="1" applyAlignment="1">
      <alignment wrapText="1"/>
    </xf>
    <xf numFmtId="3" fontId="13" fillId="3" borderId="14" xfId="0" applyNumberFormat="1" applyFont="1" applyFill="1" applyBorder="1" applyAlignment="1">
      <alignment horizontal="center"/>
    </xf>
    <xf numFmtId="3" fontId="14" fillId="3" borderId="0" xfId="0" applyNumberFormat="1" applyFont="1" applyFill="1" applyAlignment="1">
      <alignment horizontal="center"/>
    </xf>
    <xf numFmtId="3" fontId="14" fillId="3" borderId="50" xfId="0" applyNumberFormat="1" applyFont="1" applyFill="1" applyBorder="1" applyAlignment="1">
      <alignment horizontal="center"/>
    </xf>
    <xf numFmtId="3" fontId="14" fillId="3" borderId="51" xfId="0" applyNumberFormat="1" applyFont="1" applyFill="1" applyBorder="1" applyAlignment="1">
      <alignment horizontal="center"/>
    </xf>
    <xf numFmtId="49" fontId="13" fillId="0" borderId="14" xfId="0" applyNumberFormat="1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3" fontId="14" fillId="3" borderId="61" xfId="0" applyNumberFormat="1" applyFont="1" applyFill="1" applyBorder="1" applyAlignment="1">
      <alignment horizontal="center"/>
    </xf>
    <xf numFmtId="3" fontId="13" fillId="5" borderId="43" xfId="0" applyNumberFormat="1" applyFont="1" applyFill="1" applyBorder="1" applyAlignment="1">
      <alignment horizontal="center"/>
    </xf>
    <xf numFmtId="3" fontId="13" fillId="5" borderId="62" xfId="0" applyNumberFormat="1" applyFont="1" applyFill="1" applyBorder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4" fillId="0" borderId="63" xfId="0" applyNumberFormat="1" applyFont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14" fillId="0" borderId="50" xfId="0" applyNumberFormat="1" applyFont="1" applyBorder="1" applyAlignment="1">
      <alignment horizontal="center"/>
    </xf>
    <xf numFmtId="3" fontId="14" fillId="0" borderId="64" xfId="0" applyNumberFormat="1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3" fontId="14" fillId="0" borderId="61" xfId="0" applyNumberFormat="1" applyFont="1" applyBorder="1" applyAlignment="1">
      <alignment horizontal="center"/>
    </xf>
    <xf numFmtId="3" fontId="14" fillId="4" borderId="66" xfId="0" applyNumberFormat="1" applyFont="1" applyFill="1" applyBorder="1" applyAlignment="1">
      <alignment horizontal="center" vertical="center"/>
    </xf>
    <xf numFmtId="3" fontId="13" fillId="5" borderId="29" xfId="0" applyNumberFormat="1" applyFont="1" applyFill="1" applyBorder="1" applyAlignment="1">
      <alignment horizontal="center"/>
    </xf>
    <xf numFmtId="3" fontId="13" fillId="5" borderId="67" xfId="0" applyNumberFormat="1" applyFont="1" applyFill="1" applyBorder="1" applyAlignment="1">
      <alignment horizontal="center"/>
    </xf>
    <xf numFmtId="3" fontId="13" fillId="5" borderId="68" xfId="0" applyNumberFormat="1" applyFont="1" applyFill="1" applyBorder="1" applyAlignment="1">
      <alignment horizontal="center"/>
    </xf>
    <xf numFmtId="3" fontId="13" fillId="5" borderId="69" xfId="0" applyNumberFormat="1" applyFont="1" applyFill="1" applyBorder="1" applyAlignment="1">
      <alignment horizontal="center"/>
    </xf>
    <xf numFmtId="3" fontId="13" fillId="5" borderId="70" xfId="0" applyNumberFormat="1" applyFont="1" applyFill="1" applyBorder="1" applyAlignment="1">
      <alignment horizontal="center"/>
    </xf>
    <xf numFmtId="3" fontId="13" fillId="5" borderId="65" xfId="0" applyNumberFormat="1" applyFont="1" applyFill="1" applyBorder="1" applyAlignment="1">
      <alignment horizontal="center"/>
    </xf>
    <xf numFmtId="3" fontId="13" fillId="5" borderId="3" xfId="0" applyNumberFormat="1" applyFont="1" applyFill="1" applyBorder="1" applyAlignment="1">
      <alignment horizontal="center"/>
    </xf>
    <xf numFmtId="3" fontId="13" fillId="5" borderId="66" xfId="0" applyNumberFormat="1" applyFont="1" applyFill="1" applyBorder="1" applyAlignment="1">
      <alignment horizontal="center"/>
    </xf>
    <xf numFmtId="3" fontId="14" fillId="3" borderId="32" xfId="0" applyNumberFormat="1" applyFont="1" applyFill="1" applyBorder="1" applyAlignment="1">
      <alignment horizontal="center"/>
    </xf>
    <xf numFmtId="3" fontId="14" fillId="3" borderId="60" xfId="0" applyNumberFormat="1" applyFont="1" applyFill="1" applyBorder="1" applyAlignment="1">
      <alignment horizontal="center"/>
    </xf>
    <xf numFmtId="3" fontId="14" fillId="3" borderId="22" xfId="0" applyNumberFormat="1" applyFont="1" applyFill="1" applyBorder="1" applyAlignment="1">
      <alignment horizontal="center"/>
    </xf>
    <xf numFmtId="3" fontId="14" fillId="3" borderId="71" xfId="0" applyNumberFormat="1" applyFont="1" applyFill="1" applyBorder="1" applyAlignment="1">
      <alignment horizontal="center"/>
    </xf>
    <xf numFmtId="3" fontId="14" fillId="3" borderId="30" xfId="0" applyNumberFormat="1" applyFont="1" applyFill="1" applyBorder="1" applyAlignment="1">
      <alignment horizontal="center"/>
    </xf>
    <xf numFmtId="0" fontId="13" fillId="0" borderId="16" xfId="0" applyFont="1" applyBorder="1"/>
    <xf numFmtId="0" fontId="13" fillId="0" borderId="16" xfId="0" applyFont="1" applyBorder="1" applyAlignment="1">
      <alignment wrapText="1"/>
    </xf>
    <xf numFmtId="0" fontId="13" fillId="0" borderId="48" xfId="0" applyFont="1" applyBorder="1" applyAlignment="1">
      <alignment horizontal="left" wrapText="1"/>
    </xf>
    <xf numFmtId="3" fontId="14" fillId="0" borderId="16" xfId="0" applyNumberFormat="1" applyFont="1" applyBorder="1" applyAlignment="1">
      <alignment horizontal="center"/>
    </xf>
    <xf numFmtId="49" fontId="13" fillId="0" borderId="8" xfId="0" applyNumberFormat="1" applyFont="1" applyBorder="1" applyAlignment="1">
      <alignment horizontal="left"/>
    </xf>
    <xf numFmtId="3" fontId="3" fillId="2" borderId="47" xfId="0" applyNumberFormat="1" applyFont="1" applyFill="1" applyBorder="1" applyAlignment="1">
      <alignment horizontal="center" vertical="center" wrapText="1"/>
    </xf>
    <xf numFmtId="3" fontId="3" fillId="2" borderId="53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2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3" fillId="2" borderId="4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4" borderId="54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4" fillId="4" borderId="5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4" fillId="4" borderId="52" xfId="0" applyFont="1" applyFill="1" applyBorder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3" fontId="14" fillId="4" borderId="55" xfId="0" applyNumberFormat="1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13" fillId="4" borderId="58" xfId="0" applyFont="1" applyFill="1" applyBorder="1" applyAlignment="1">
      <alignment horizontal="center" vertical="center" wrapText="1"/>
    </xf>
    <xf numFmtId="0" fontId="14" fillId="4" borderId="59" xfId="2" applyFont="1" applyFill="1" applyBorder="1" applyAlignment="1">
      <alignment horizontal="left" vertical="center" wrapText="1"/>
    </xf>
    <xf numFmtId="0" fontId="14" fillId="4" borderId="60" xfId="2" applyFont="1" applyFill="1" applyBorder="1" applyAlignment="1">
      <alignment horizontal="left" vertical="center" wrapText="1"/>
    </xf>
    <xf numFmtId="0" fontId="14" fillId="4" borderId="54" xfId="2" applyFont="1" applyFill="1" applyBorder="1" applyAlignment="1">
      <alignment horizontal="left" vertical="center" wrapText="1"/>
    </xf>
    <xf numFmtId="0" fontId="14" fillId="4" borderId="42" xfId="2" applyFont="1" applyFill="1" applyBorder="1" applyAlignment="1">
      <alignment horizontal="left" vertical="center" wrapText="1"/>
    </xf>
    <xf numFmtId="4" fontId="3" fillId="3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14" fillId="4" borderId="14" xfId="2" applyFont="1" applyFill="1" applyBorder="1" applyAlignment="1">
      <alignment horizontal="center" vertical="center" wrapText="1"/>
    </xf>
    <xf numFmtId="0" fontId="14" fillId="4" borderId="5" xfId="2" applyFont="1" applyFill="1" applyBorder="1" applyAlignment="1">
      <alignment horizontal="center" vertical="center" wrapText="1"/>
    </xf>
    <xf numFmtId="3" fontId="14" fillId="4" borderId="65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left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e" xfId="0" builtinId="0"/>
    <cellStyle name="Normale_Foglio1" xfId="2" xr:uid="{00000000-0005-0000-0000-000003000000}"/>
  </cellStyles>
  <dxfs count="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6"/>
  <sheetViews>
    <sheetView tabSelected="1" topLeftCell="E2" zoomScale="80" zoomScaleNormal="80" workbookViewId="0">
      <pane xSplit="6705" ySplit="2745" topLeftCell="A150" activePane="bottomRight"/>
      <selection pane="topRight" activeCell="M2" sqref="M1:M1048576"/>
      <selection pane="bottomLeft" activeCell="E177" sqref="A177:XFD179"/>
      <selection pane="bottomRight" activeCell="E174" sqref="E174"/>
    </sheetView>
  </sheetViews>
  <sheetFormatPr defaultRowHeight="45" customHeight="1" x14ac:dyDescent="0.2"/>
  <cols>
    <col min="1" max="1" width="4.125" style="129" customWidth="1"/>
    <col min="2" max="2" width="8.875" style="58" customWidth="1"/>
    <col min="3" max="3" width="4" style="2" bestFit="1" customWidth="1"/>
    <col min="4" max="4" width="7.875" style="2" customWidth="1"/>
    <col min="5" max="5" width="10.625" style="134" customWidth="1"/>
    <col min="6" max="6" width="16.5" style="61" customWidth="1"/>
    <col min="7" max="7" width="26" style="1" customWidth="1"/>
    <col min="8" max="8" width="12.125" style="192" customWidth="1"/>
    <col min="9" max="9" width="19.875" style="58" customWidth="1"/>
    <col min="10" max="10" width="8.375" style="5" bestFit="1" customWidth="1"/>
    <col min="11" max="11" width="8.375" style="5" hidden="1" customWidth="1"/>
    <col min="12" max="12" width="13.75" style="5" bestFit="1" customWidth="1"/>
    <col min="13" max="16384" width="9" style="2"/>
  </cols>
  <sheetData>
    <row r="1" spans="1:12" ht="45" customHeight="1" x14ac:dyDescent="0.2">
      <c r="B1" s="130"/>
      <c r="C1" s="9"/>
      <c r="D1" s="9"/>
      <c r="E1" s="131"/>
      <c r="F1" s="211"/>
      <c r="G1" s="212"/>
      <c r="H1" s="8"/>
      <c r="I1" s="212"/>
      <c r="J1" s="132"/>
      <c r="K1" s="132"/>
      <c r="L1" s="133"/>
    </row>
    <row r="2" spans="1:12" s="56" customFormat="1" ht="175.5" customHeight="1" x14ac:dyDescent="0.2">
      <c r="A2" s="15" t="s">
        <v>823</v>
      </c>
      <c r="B2" s="53"/>
      <c r="C2" s="54" t="s">
        <v>4</v>
      </c>
      <c r="D2" s="53" t="s">
        <v>5</v>
      </c>
      <c r="E2" s="135" t="s">
        <v>6</v>
      </c>
      <c r="F2" s="135" t="s">
        <v>7</v>
      </c>
      <c r="G2" s="51" t="s">
        <v>8</v>
      </c>
      <c r="H2" s="53" t="s">
        <v>9</v>
      </c>
      <c r="I2" s="51" t="s">
        <v>10</v>
      </c>
      <c r="J2" s="4" t="s">
        <v>11</v>
      </c>
      <c r="K2" s="4" t="s">
        <v>12</v>
      </c>
      <c r="L2" s="55" t="s">
        <v>821</v>
      </c>
    </row>
    <row r="3" spans="1:12" ht="48" customHeight="1" x14ac:dyDescent="0.2">
      <c r="A3" s="165">
        <v>1</v>
      </c>
      <c r="B3" s="13" t="s">
        <v>14</v>
      </c>
      <c r="C3" s="34" t="s">
        <v>15</v>
      </c>
      <c r="D3" s="34" t="s">
        <v>16</v>
      </c>
      <c r="E3" s="34" t="s">
        <v>17</v>
      </c>
      <c r="F3" s="166" t="s">
        <v>18</v>
      </c>
      <c r="G3" s="13" t="s">
        <v>19</v>
      </c>
      <c r="H3" s="188" t="s">
        <v>20</v>
      </c>
      <c r="I3" s="11" t="s">
        <v>21</v>
      </c>
      <c r="J3" s="224">
        <v>3</v>
      </c>
      <c r="K3" s="224"/>
      <c r="L3" s="224">
        <f>18*3</f>
        <v>54</v>
      </c>
    </row>
    <row r="4" spans="1:12" ht="48" customHeight="1" x14ac:dyDescent="0.2">
      <c r="A4" s="165">
        <v>2</v>
      </c>
      <c r="B4" s="11" t="s">
        <v>14</v>
      </c>
      <c r="C4" s="20" t="s">
        <v>15</v>
      </c>
      <c r="D4" s="20" t="s">
        <v>16</v>
      </c>
      <c r="E4" s="20" t="s">
        <v>22</v>
      </c>
      <c r="F4" s="162" t="s">
        <v>23</v>
      </c>
      <c r="G4" s="11" t="s">
        <v>0</v>
      </c>
      <c r="H4" s="173" t="s">
        <v>24</v>
      </c>
      <c r="I4" s="11" t="s">
        <v>25</v>
      </c>
      <c r="J4" s="224">
        <v>1</v>
      </c>
      <c r="K4" s="224"/>
      <c r="L4" s="79">
        <v>19</v>
      </c>
    </row>
    <row r="5" spans="1:12" ht="48" customHeight="1" x14ac:dyDescent="0.2">
      <c r="A5" s="165">
        <v>3</v>
      </c>
      <c r="B5" s="11" t="s">
        <v>26</v>
      </c>
      <c r="C5" s="20" t="s">
        <v>15</v>
      </c>
      <c r="D5" s="20" t="s">
        <v>16</v>
      </c>
      <c r="E5" s="20" t="s">
        <v>27</v>
      </c>
      <c r="F5" s="162" t="s">
        <v>28</v>
      </c>
      <c r="G5" s="11" t="s">
        <v>0</v>
      </c>
      <c r="H5" s="173" t="s">
        <v>29</v>
      </c>
      <c r="I5" s="11" t="s">
        <v>30</v>
      </c>
      <c r="J5" s="224">
        <v>2</v>
      </c>
      <c r="K5" s="224"/>
      <c r="L5" s="79">
        <f>23+23</f>
        <v>46</v>
      </c>
    </row>
    <row r="6" spans="1:12" ht="48" customHeight="1" x14ac:dyDescent="0.2">
      <c r="A6" s="165">
        <v>4</v>
      </c>
      <c r="B6" s="11" t="s">
        <v>26</v>
      </c>
      <c r="C6" s="20" t="s">
        <v>15</v>
      </c>
      <c r="D6" s="20" t="s">
        <v>16</v>
      </c>
      <c r="E6" s="20" t="s">
        <v>31</v>
      </c>
      <c r="F6" s="162" t="s">
        <v>32</v>
      </c>
      <c r="G6" s="11" t="s">
        <v>0</v>
      </c>
      <c r="H6" s="173" t="s">
        <v>29</v>
      </c>
      <c r="I6" s="11" t="s">
        <v>30</v>
      </c>
      <c r="J6" s="224">
        <v>2</v>
      </c>
      <c r="K6" s="224"/>
      <c r="L6" s="79">
        <f>23+23</f>
        <v>46</v>
      </c>
    </row>
    <row r="7" spans="1:12" ht="48" customHeight="1" x14ac:dyDescent="0.2">
      <c r="A7" s="165">
        <v>5</v>
      </c>
      <c r="B7" s="47" t="s">
        <v>14</v>
      </c>
      <c r="C7" s="50" t="s">
        <v>15</v>
      </c>
      <c r="D7" s="50" t="s">
        <v>16</v>
      </c>
      <c r="E7" s="50" t="s">
        <v>33</v>
      </c>
      <c r="F7" s="167" t="s">
        <v>34</v>
      </c>
      <c r="G7" s="47" t="s">
        <v>35</v>
      </c>
      <c r="H7" s="173" t="s">
        <v>36</v>
      </c>
      <c r="I7" s="11" t="s">
        <v>37</v>
      </c>
      <c r="J7" s="79">
        <v>3</v>
      </c>
      <c r="K7" s="79"/>
      <c r="L7" s="79">
        <f>20+21+20</f>
        <v>61</v>
      </c>
    </row>
    <row r="8" spans="1:12" ht="48" customHeight="1" thickBot="1" x14ac:dyDescent="0.25">
      <c r="A8" s="165">
        <v>6</v>
      </c>
      <c r="B8" s="12"/>
      <c r="C8" s="26" t="s">
        <v>15</v>
      </c>
      <c r="D8" s="26" t="s">
        <v>16</v>
      </c>
      <c r="E8" s="26" t="s">
        <v>38</v>
      </c>
      <c r="F8" s="168" t="s">
        <v>39</v>
      </c>
      <c r="G8" s="12" t="s">
        <v>40</v>
      </c>
      <c r="H8" s="169" t="s">
        <v>41</v>
      </c>
      <c r="I8" s="12" t="s">
        <v>42</v>
      </c>
      <c r="J8" s="163">
        <v>1</v>
      </c>
      <c r="K8" s="163"/>
      <c r="L8" s="163">
        <v>6</v>
      </c>
    </row>
    <row r="9" spans="1:12" ht="48" customHeight="1" x14ac:dyDescent="0.2">
      <c r="A9" s="165">
        <v>7</v>
      </c>
      <c r="B9" s="13" t="s">
        <v>14</v>
      </c>
      <c r="C9" s="34" t="s">
        <v>43</v>
      </c>
      <c r="D9" s="34" t="s">
        <v>16</v>
      </c>
      <c r="E9" s="34" t="s">
        <v>44</v>
      </c>
      <c r="F9" s="166" t="s">
        <v>45</v>
      </c>
      <c r="G9" s="13" t="s">
        <v>46</v>
      </c>
      <c r="H9" s="172" t="s">
        <v>47</v>
      </c>
      <c r="I9" s="13" t="s">
        <v>48</v>
      </c>
      <c r="J9" s="224">
        <v>4</v>
      </c>
      <c r="K9" s="224"/>
      <c r="L9" s="224">
        <f>18+19+20+20</f>
        <v>77</v>
      </c>
    </row>
    <row r="10" spans="1:12" ht="48" customHeight="1" x14ac:dyDescent="0.2">
      <c r="A10" s="165">
        <v>8</v>
      </c>
      <c r="B10" s="11" t="s">
        <v>14</v>
      </c>
      <c r="C10" s="34" t="s">
        <v>43</v>
      </c>
      <c r="D10" s="20" t="s">
        <v>16</v>
      </c>
      <c r="E10" s="20" t="s">
        <v>49</v>
      </c>
      <c r="F10" s="162" t="s">
        <v>50</v>
      </c>
      <c r="G10" s="11" t="s">
        <v>51</v>
      </c>
      <c r="H10" s="173" t="s">
        <v>52</v>
      </c>
      <c r="I10" s="11" t="s">
        <v>53</v>
      </c>
      <c r="J10" s="224">
        <v>3</v>
      </c>
      <c r="K10" s="224"/>
      <c r="L10" s="79">
        <f>19+17+15</f>
        <v>51</v>
      </c>
    </row>
    <row r="11" spans="1:12" ht="48" customHeight="1" x14ac:dyDescent="0.2">
      <c r="A11" s="165">
        <v>9</v>
      </c>
      <c r="B11" s="11" t="s">
        <v>14</v>
      </c>
      <c r="C11" s="34" t="s">
        <v>43</v>
      </c>
      <c r="D11" s="20" t="s">
        <v>16</v>
      </c>
      <c r="E11" s="20" t="s">
        <v>54</v>
      </c>
      <c r="F11" s="162" t="s">
        <v>55</v>
      </c>
      <c r="G11" s="11" t="s">
        <v>56</v>
      </c>
      <c r="H11" s="173" t="s">
        <v>57</v>
      </c>
      <c r="I11" s="11" t="s">
        <v>58</v>
      </c>
      <c r="J11" s="224">
        <v>6</v>
      </c>
      <c r="K11" s="224"/>
      <c r="L11" s="79">
        <f>19+18+21+20+18+20</f>
        <v>116</v>
      </c>
    </row>
    <row r="12" spans="1:12" ht="48" customHeight="1" x14ac:dyDescent="0.2">
      <c r="A12" s="165">
        <v>10</v>
      </c>
      <c r="B12" s="11" t="s">
        <v>14</v>
      </c>
      <c r="C12" s="34" t="s">
        <v>43</v>
      </c>
      <c r="D12" s="20" t="s">
        <v>16</v>
      </c>
      <c r="E12" s="20" t="s">
        <v>59</v>
      </c>
      <c r="F12" s="162" t="s">
        <v>60</v>
      </c>
      <c r="G12" s="11" t="s">
        <v>61</v>
      </c>
      <c r="H12" s="173" t="s">
        <v>62</v>
      </c>
      <c r="I12" s="11" t="s">
        <v>63</v>
      </c>
      <c r="J12" s="224">
        <v>2</v>
      </c>
      <c r="K12" s="224"/>
      <c r="L12" s="79">
        <f>19+19</f>
        <v>38</v>
      </c>
    </row>
    <row r="13" spans="1:12" ht="48" customHeight="1" x14ac:dyDescent="0.2">
      <c r="A13" s="165">
        <v>11</v>
      </c>
      <c r="B13" s="11" t="s">
        <v>14</v>
      </c>
      <c r="C13" s="34" t="s">
        <v>43</v>
      </c>
      <c r="D13" s="20" t="s">
        <v>16</v>
      </c>
      <c r="E13" s="20" t="s">
        <v>64</v>
      </c>
      <c r="F13" s="208" t="s">
        <v>65</v>
      </c>
      <c r="G13" s="11" t="s">
        <v>66</v>
      </c>
      <c r="H13" s="173" t="s">
        <v>67</v>
      </c>
      <c r="I13" s="11" t="s">
        <v>68</v>
      </c>
      <c r="J13" s="224">
        <v>3</v>
      </c>
      <c r="K13" s="224"/>
      <c r="L13" s="79">
        <f>15+19+17</f>
        <v>51</v>
      </c>
    </row>
    <row r="14" spans="1:12" ht="48" customHeight="1" x14ac:dyDescent="0.2">
      <c r="A14" s="165">
        <v>12</v>
      </c>
      <c r="B14" s="11" t="s">
        <v>14</v>
      </c>
      <c r="C14" s="34" t="s">
        <v>43</v>
      </c>
      <c r="D14" s="20" t="s">
        <v>16</v>
      </c>
      <c r="E14" s="20" t="s">
        <v>69</v>
      </c>
      <c r="F14" s="162" t="s">
        <v>70</v>
      </c>
      <c r="G14" s="11" t="s">
        <v>71</v>
      </c>
      <c r="H14" s="173" t="s">
        <v>72</v>
      </c>
      <c r="I14" s="11" t="s">
        <v>73</v>
      </c>
      <c r="J14" s="79">
        <v>5</v>
      </c>
      <c r="K14" s="79"/>
      <c r="L14" s="79">
        <f>24+23+23+21+22</f>
        <v>113</v>
      </c>
    </row>
    <row r="15" spans="1:12" ht="48" customHeight="1" x14ac:dyDescent="0.2">
      <c r="A15" s="165">
        <v>13</v>
      </c>
      <c r="B15" s="11" t="s">
        <v>14</v>
      </c>
      <c r="C15" s="34" t="s">
        <v>43</v>
      </c>
      <c r="D15" s="20" t="s">
        <v>16</v>
      </c>
      <c r="E15" s="20" t="s">
        <v>74</v>
      </c>
      <c r="F15" s="162" t="s">
        <v>75</v>
      </c>
      <c r="G15" s="11" t="s">
        <v>76</v>
      </c>
      <c r="H15" s="173" t="s">
        <v>77</v>
      </c>
      <c r="I15" s="11" t="s">
        <v>78</v>
      </c>
      <c r="J15" s="224">
        <v>7</v>
      </c>
      <c r="K15" s="224"/>
      <c r="L15" s="224">
        <f>21+20+15+19+19+17+18</f>
        <v>129</v>
      </c>
    </row>
    <row r="16" spans="1:12" ht="48" customHeight="1" x14ac:dyDescent="0.2">
      <c r="A16" s="165">
        <v>14</v>
      </c>
      <c r="B16" s="11" t="s">
        <v>14</v>
      </c>
      <c r="C16" s="34" t="s">
        <v>43</v>
      </c>
      <c r="D16" s="20" t="s">
        <v>16</v>
      </c>
      <c r="E16" s="20" t="s">
        <v>79</v>
      </c>
      <c r="F16" s="162" t="s">
        <v>80</v>
      </c>
      <c r="G16" s="11" t="s">
        <v>81</v>
      </c>
      <c r="H16" s="173" t="s">
        <v>82</v>
      </c>
      <c r="I16" s="11" t="s">
        <v>83</v>
      </c>
      <c r="J16" s="224">
        <v>2</v>
      </c>
      <c r="K16" s="224"/>
      <c r="L16" s="79">
        <f>21+19</f>
        <v>40</v>
      </c>
    </row>
    <row r="17" spans="1:12" ht="48" customHeight="1" x14ac:dyDescent="0.2">
      <c r="A17" s="165">
        <v>15</v>
      </c>
      <c r="B17" s="11" t="s">
        <v>14</v>
      </c>
      <c r="C17" s="34" t="s">
        <v>43</v>
      </c>
      <c r="D17" s="20" t="s">
        <v>16</v>
      </c>
      <c r="E17" s="20" t="s">
        <v>84</v>
      </c>
      <c r="F17" s="162" t="s">
        <v>65</v>
      </c>
      <c r="G17" s="11" t="s">
        <v>85</v>
      </c>
      <c r="H17" s="173" t="s">
        <v>86</v>
      </c>
      <c r="I17" s="11" t="s">
        <v>87</v>
      </c>
      <c r="J17" s="224">
        <v>3</v>
      </c>
      <c r="K17" s="224"/>
      <c r="L17" s="79">
        <f>18+19+20</f>
        <v>57</v>
      </c>
    </row>
    <row r="18" spans="1:12" ht="48" customHeight="1" x14ac:dyDescent="0.2">
      <c r="A18" s="165">
        <v>16</v>
      </c>
      <c r="B18" s="11" t="s">
        <v>14</v>
      </c>
      <c r="C18" s="34" t="s">
        <v>43</v>
      </c>
      <c r="D18" s="20" t="s">
        <v>16</v>
      </c>
      <c r="E18" s="20" t="s">
        <v>88</v>
      </c>
      <c r="F18" s="162" t="s">
        <v>89</v>
      </c>
      <c r="G18" s="11" t="s">
        <v>85</v>
      </c>
      <c r="H18" s="173" t="s">
        <v>90</v>
      </c>
      <c r="I18" s="11" t="s">
        <v>91</v>
      </c>
      <c r="J18" s="224">
        <v>4</v>
      </c>
      <c r="K18" s="224"/>
      <c r="L18" s="79">
        <f>22+21+21+21</f>
        <v>85</v>
      </c>
    </row>
    <row r="19" spans="1:12" ht="48" customHeight="1" x14ac:dyDescent="0.2">
      <c r="A19" s="165">
        <v>17</v>
      </c>
      <c r="B19" s="11" t="s">
        <v>14</v>
      </c>
      <c r="C19" s="34" t="s">
        <v>43</v>
      </c>
      <c r="D19" s="20" t="s">
        <v>16</v>
      </c>
      <c r="E19" s="20" t="s">
        <v>92</v>
      </c>
      <c r="F19" s="162" t="s">
        <v>93</v>
      </c>
      <c r="G19" s="11" t="s">
        <v>94</v>
      </c>
      <c r="H19" s="173" t="s">
        <v>95</v>
      </c>
      <c r="I19" s="11" t="s">
        <v>96</v>
      </c>
      <c r="J19" s="224">
        <v>4</v>
      </c>
      <c r="K19" s="224"/>
      <c r="L19" s="79">
        <f>16+18+16+16</f>
        <v>66</v>
      </c>
    </row>
    <row r="20" spans="1:12" ht="48" customHeight="1" x14ac:dyDescent="0.2">
      <c r="A20" s="165">
        <v>18</v>
      </c>
      <c r="B20" s="11" t="s">
        <v>14</v>
      </c>
      <c r="C20" s="34" t="s">
        <v>43</v>
      </c>
      <c r="D20" s="20" t="s">
        <v>16</v>
      </c>
      <c r="E20" s="20" t="s">
        <v>97</v>
      </c>
      <c r="F20" s="162" t="s">
        <v>50</v>
      </c>
      <c r="G20" s="11" t="s">
        <v>98</v>
      </c>
      <c r="H20" s="173" t="s">
        <v>99</v>
      </c>
      <c r="I20" s="11" t="s">
        <v>100</v>
      </c>
      <c r="J20" s="224">
        <v>3</v>
      </c>
      <c r="K20" s="224"/>
      <c r="L20" s="79">
        <f>16+16+16</f>
        <v>48</v>
      </c>
    </row>
    <row r="21" spans="1:12" ht="48" customHeight="1" x14ac:dyDescent="0.2">
      <c r="A21" s="165">
        <v>19</v>
      </c>
      <c r="B21" s="11" t="s">
        <v>14</v>
      </c>
      <c r="C21" s="34" t="s">
        <v>43</v>
      </c>
      <c r="D21" s="20" t="s">
        <v>16</v>
      </c>
      <c r="E21" s="20" t="s">
        <v>101</v>
      </c>
      <c r="F21" s="162" t="s">
        <v>102</v>
      </c>
      <c r="G21" s="11" t="s">
        <v>103</v>
      </c>
      <c r="H21" s="173" t="s">
        <v>104</v>
      </c>
      <c r="I21" s="11" t="s">
        <v>105</v>
      </c>
      <c r="J21" s="224">
        <v>3</v>
      </c>
      <c r="K21" s="224"/>
      <c r="L21" s="79">
        <f>24+24+25</f>
        <v>73</v>
      </c>
    </row>
    <row r="22" spans="1:12" ht="48" customHeight="1" x14ac:dyDescent="0.2">
      <c r="A22" s="165">
        <v>20</v>
      </c>
      <c r="B22" s="11" t="s">
        <v>14</v>
      </c>
      <c r="C22" s="34" t="s">
        <v>43</v>
      </c>
      <c r="D22" s="20" t="s">
        <v>16</v>
      </c>
      <c r="E22" s="20" t="s">
        <v>106</v>
      </c>
      <c r="F22" s="162" t="s">
        <v>50</v>
      </c>
      <c r="G22" s="11" t="s">
        <v>107</v>
      </c>
      <c r="H22" s="173" t="s">
        <v>108</v>
      </c>
      <c r="I22" s="11" t="s">
        <v>109</v>
      </c>
      <c r="J22" s="224">
        <v>2</v>
      </c>
      <c r="K22" s="224"/>
      <c r="L22" s="79">
        <f>20+19</f>
        <v>39</v>
      </c>
    </row>
    <row r="23" spans="1:12" ht="48" customHeight="1" x14ac:dyDescent="0.2">
      <c r="A23" s="165">
        <v>21</v>
      </c>
      <c r="B23" s="11" t="s">
        <v>14</v>
      </c>
      <c r="C23" s="34" t="s">
        <v>43</v>
      </c>
      <c r="D23" s="20" t="s">
        <v>16</v>
      </c>
      <c r="E23" s="20" t="s">
        <v>110</v>
      </c>
      <c r="F23" s="162" t="s">
        <v>111</v>
      </c>
      <c r="G23" s="11" t="s">
        <v>112</v>
      </c>
      <c r="H23" s="173" t="s">
        <v>113</v>
      </c>
      <c r="I23" s="11" t="s">
        <v>114</v>
      </c>
      <c r="J23" s="224">
        <v>5</v>
      </c>
      <c r="K23" s="224"/>
      <c r="L23" s="79">
        <f>16+18+21+20+23</f>
        <v>98</v>
      </c>
    </row>
    <row r="24" spans="1:12" ht="48" customHeight="1" x14ac:dyDescent="0.2">
      <c r="A24" s="165">
        <v>22</v>
      </c>
      <c r="B24" s="11" t="s">
        <v>14</v>
      </c>
      <c r="C24" s="34" t="s">
        <v>43</v>
      </c>
      <c r="D24" s="20" t="s">
        <v>16</v>
      </c>
      <c r="E24" s="20" t="s">
        <v>115</v>
      </c>
      <c r="F24" s="162" t="s">
        <v>50</v>
      </c>
      <c r="G24" s="11" t="s">
        <v>116</v>
      </c>
      <c r="H24" s="173" t="s">
        <v>117</v>
      </c>
      <c r="I24" s="11" t="s">
        <v>118</v>
      </c>
      <c r="J24" s="224">
        <v>4</v>
      </c>
      <c r="K24" s="224"/>
      <c r="L24" s="79">
        <f>20+24+24+24</f>
        <v>92</v>
      </c>
    </row>
    <row r="25" spans="1:12" ht="48" customHeight="1" x14ac:dyDescent="0.2">
      <c r="A25" s="165">
        <v>23</v>
      </c>
      <c r="B25" s="11" t="s">
        <v>14</v>
      </c>
      <c r="C25" s="34" t="s">
        <v>43</v>
      </c>
      <c r="D25" s="20" t="s">
        <v>16</v>
      </c>
      <c r="E25" s="20" t="s">
        <v>119</v>
      </c>
      <c r="F25" s="162" t="s">
        <v>120</v>
      </c>
      <c r="G25" s="11" t="s">
        <v>121</v>
      </c>
      <c r="H25" s="173" t="s">
        <v>122</v>
      </c>
      <c r="I25" s="11" t="s">
        <v>63</v>
      </c>
      <c r="J25" s="224">
        <v>3</v>
      </c>
      <c r="K25" s="224"/>
      <c r="L25" s="79">
        <f>25+25+23</f>
        <v>73</v>
      </c>
    </row>
    <row r="26" spans="1:12" ht="48" customHeight="1" x14ac:dyDescent="0.2">
      <c r="A26" s="165">
        <v>24</v>
      </c>
      <c r="B26" s="11" t="s">
        <v>14</v>
      </c>
      <c r="C26" s="34" t="s">
        <v>43</v>
      </c>
      <c r="D26" s="20" t="s">
        <v>16</v>
      </c>
      <c r="E26" s="20" t="s">
        <v>123</v>
      </c>
      <c r="F26" s="162" t="s">
        <v>124</v>
      </c>
      <c r="G26" s="11" t="s">
        <v>125</v>
      </c>
      <c r="H26" s="173" t="s">
        <v>126</v>
      </c>
      <c r="I26" s="11" t="s">
        <v>127</v>
      </c>
      <c r="J26" s="224">
        <v>3</v>
      </c>
      <c r="K26" s="224"/>
      <c r="L26" s="79">
        <f>24+24+24</f>
        <v>72</v>
      </c>
    </row>
    <row r="27" spans="1:12" ht="48" customHeight="1" x14ac:dyDescent="0.2">
      <c r="A27" s="165">
        <v>25</v>
      </c>
      <c r="B27" s="11" t="s">
        <v>14</v>
      </c>
      <c r="C27" s="34" t="s">
        <v>43</v>
      </c>
      <c r="D27" s="20" t="s">
        <v>16</v>
      </c>
      <c r="E27" s="20" t="s">
        <v>128</v>
      </c>
      <c r="F27" s="162" t="s">
        <v>129</v>
      </c>
      <c r="G27" s="11" t="s">
        <v>130</v>
      </c>
      <c r="H27" s="173" t="s">
        <v>131</v>
      </c>
      <c r="I27" s="11" t="s">
        <v>132</v>
      </c>
      <c r="J27" s="224">
        <v>4</v>
      </c>
      <c r="K27" s="224"/>
      <c r="L27" s="79">
        <f>23+23+23+22</f>
        <v>91</v>
      </c>
    </row>
    <row r="28" spans="1:12" ht="48" customHeight="1" x14ac:dyDescent="0.2">
      <c r="A28" s="165">
        <v>26</v>
      </c>
      <c r="B28" s="11" t="s">
        <v>14</v>
      </c>
      <c r="C28" s="34" t="s">
        <v>43</v>
      </c>
      <c r="D28" s="20" t="s">
        <v>16</v>
      </c>
      <c r="E28" s="34" t="s">
        <v>133</v>
      </c>
      <c r="F28" s="166" t="s">
        <v>134</v>
      </c>
      <c r="G28" s="11" t="s">
        <v>135</v>
      </c>
      <c r="H28" s="173" t="s">
        <v>136</v>
      </c>
      <c r="I28" s="11" t="s">
        <v>137</v>
      </c>
      <c r="J28" s="224">
        <v>3</v>
      </c>
      <c r="K28" s="224"/>
      <c r="L28" s="79">
        <f>25+24+27</f>
        <v>76</v>
      </c>
    </row>
    <row r="29" spans="1:12" ht="48" customHeight="1" x14ac:dyDescent="0.2">
      <c r="A29" s="165">
        <v>27</v>
      </c>
      <c r="B29" s="11" t="s">
        <v>14</v>
      </c>
      <c r="C29" s="34" t="s">
        <v>43</v>
      </c>
      <c r="D29" s="20" t="s">
        <v>16</v>
      </c>
      <c r="E29" s="20" t="s">
        <v>138</v>
      </c>
      <c r="F29" s="208" t="s">
        <v>139</v>
      </c>
      <c r="G29" s="11" t="s">
        <v>140</v>
      </c>
      <c r="H29" s="209" t="s">
        <v>141</v>
      </c>
      <c r="I29" s="69" t="s">
        <v>142</v>
      </c>
      <c r="J29" s="224">
        <v>2</v>
      </c>
      <c r="K29" s="224"/>
      <c r="L29" s="79">
        <f>15+15</f>
        <v>30</v>
      </c>
    </row>
    <row r="30" spans="1:12" ht="48" customHeight="1" x14ac:dyDescent="0.2">
      <c r="A30" s="165">
        <v>28</v>
      </c>
      <c r="B30" s="11" t="s">
        <v>14</v>
      </c>
      <c r="C30" s="34" t="s">
        <v>43</v>
      </c>
      <c r="D30" s="20" t="s">
        <v>16</v>
      </c>
      <c r="E30" s="20" t="s">
        <v>143</v>
      </c>
      <c r="F30" s="162" t="s">
        <v>144</v>
      </c>
      <c r="G30" s="11" t="s">
        <v>145</v>
      </c>
      <c r="H30" s="173" t="s">
        <v>146</v>
      </c>
      <c r="I30" s="11" t="s">
        <v>147</v>
      </c>
      <c r="J30" s="224">
        <v>3</v>
      </c>
      <c r="K30" s="224"/>
      <c r="L30" s="79">
        <f>19+20+19</f>
        <v>58</v>
      </c>
    </row>
    <row r="31" spans="1:12" ht="48" customHeight="1" x14ac:dyDescent="0.2">
      <c r="A31" s="165">
        <v>29</v>
      </c>
      <c r="B31" s="11" t="s">
        <v>14</v>
      </c>
      <c r="C31" s="34" t="s">
        <v>43</v>
      </c>
      <c r="D31" s="20" t="s">
        <v>16</v>
      </c>
      <c r="E31" s="20" t="s">
        <v>148</v>
      </c>
      <c r="F31" s="162" t="s">
        <v>149</v>
      </c>
      <c r="G31" s="11" t="s">
        <v>150</v>
      </c>
      <c r="H31" s="173" t="s">
        <v>151</v>
      </c>
      <c r="I31" s="11" t="s">
        <v>152</v>
      </c>
      <c r="J31" s="224">
        <v>5</v>
      </c>
      <c r="K31" s="224"/>
      <c r="L31" s="79">
        <f>16+17+17+18+15</f>
        <v>83</v>
      </c>
    </row>
    <row r="32" spans="1:12" ht="48" customHeight="1" x14ac:dyDescent="0.2">
      <c r="A32" s="165">
        <v>30</v>
      </c>
      <c r="B32" s="11" t="s">
        <v>14</v>
      </c>
      <c r="C32" s="34" t="s">
        <v>43</v>
      </c>
      <c r="D32" s="20" t="s">
        <v>16</v>
      </c>
      <c r="E32" s="20" t="s">
        <v>153</v>
      </c>
      <c r="F32" s="162" t="s">
        <v>102</v>
      </c>
      <c r="G32" s="11" t="s">
        <v>154</v>
      </c>
      <c r="H32" s="173" t="s">
        <v>155</v>
      </c>
      <c r="I32" s="11" t="s">
        <v>156</v>
      </c>
      <c r="J32" s="224">
        <v>3</v>
      </c>
      <c r="K32" s="224"/>
      <c r="L32" s="79">
        <f>24+20+21</f>
        <v>65</v>
      </c>
    </row>
    <row r="33" spans="1:12" ht="48" customHeight="1" x14ac:dyDescent="0.2">
      <c r="A33" s="165">
        <v>31</v>
      </c>
      <c r="B33" s="11" t="s">
        <v>14</v>
      </c>
      <c r="C33" s="34" t="s">
        <v>43</v>
      </c>
      <c r="D33" s="20" t="s">
        <v>16</v>
      </c>
      <c r="E33" s="20" t="s">
        <v>157</v>
      </c>
      <c r="F33" s="162" t="s">
        <v>158</v>
      </c>
      <c r="G33" s="11" t="s">
        <v>159</v>
      </c>
      <c r="H33" s="173" t="s">
        <v>160</v>
      </c>
      <c r="I33" s="11" t="s">
        <v>161</v>
      </c>
      <c r="J33" s="224">
        <v>4</v>
      </c>
      <c r="K33" s="224"/>
      <c r="L33" s="79">
        <f>24+24+18+24</f>
        <v>90</v>
      </c>
    </row>
    <row r="34" spans="1:12" ht="48" customHeight="1" x14ac:dyDescent="0.2">
      <c r="A34" s="165">
        <v>32</v>
      </c>
      <c r="B34" s="11" t="s">
        <v>14</v>
      </c>
      <c r="C34" s="34" t="s">
        <v>43</v>
      </c>
      <c r="D34" s="20" t="s">
        <v>16</v>
      </c>
      <c r="E34" s="20" t="s">
        <v>162</v>
      </c>
      <c r="F34" s="162" t="s">
        <v>163</v>
      </c>
      <c r="G34" s="11" t="s">
        <v>1</v>
      </c>
      <c r="H34" s="173" t="s">
        <v>164</v>
      </c>
      <c r="I34" s="11" t="s">
        <v>96</v>
      </c>
      <c r="J34" s="224">
        <v>4</v>
      </c>
      <c r="K34" s="224"/>
      <c r="L34" s="79">
        <f>19+20+19+23</f>
        <v>81</v>
      </c>
    </row>
    <row r="35" spans="1:12" ht="48" customHeight="1" x14ac:dyDescent="0.2">
      <c r="A35" s="165">
        <v>33</v>
      </c>
      <c r="B35" s="11" t="s">
        <v>14</v>
      </c>
      <c r="C35" s="34" t="s">
        <v>43</v>
      </c>
      <c r="D35" s="20" t="s">
        <v>16</v>
      </c>
      <c r="E35" s="20" t="s">
        <v>165</v>
      </c>
      <c r="F35" s="162" t="s">
        <v>166</v>
      </c>
      <c r="G35" s="11" t="s">
        <v>167</v>
      </c>
      <c r="H35" s="173" t="s">
        <v>168</v>
      </c>
      <c r="I35" s="11" t="s">
        <v>169</v>
      </c>
      <c r="J35" s="224">
        <v>4</v>
      </c>
      <c r="K35" s="224"/>
      <c r="L35" s="79">
        <f>15+15+15+16</f>
        <v>61</v>
      </c>
    </row>
    <row r="36" spans="1:12" ht="48" customHeight="1" x14ac:dyDescent="0.2">
      <c r="A36" s="165">
        <v>34</v>
      </c>
      <c r="B36" s="11" t="s">
        <v>14</v>
      </c>
      <c r="C36" s="34" t="s">
        <v>43</v>
      </c>
      <c r="D36" s="20" t="s">
        <v>16</v>
      </c>
      <c r="E36" s="20" t="s">
        <v>170</v>
      </c>
      <c r="F36" s="162" t="s">
        <v>171</v>
      </c>
      <c r="G36" s="11" t="s">
        <v>172</v>
      </c>
      <c r="H36" s="173" t="s">
        <v>173</v>
      </c>
      <c r="I36" s="11" t="s">
        <v>174</v>
      </c>
      <c r="J36" s="224">
        <v>3</v>
      </c>
      <c r="K36" s="224"/>
      <c r="L36" s="79">
        <f>27+27+28</f>
        <v>82</v>
      </c>
    </row>
    <row r="37" spans="1:12" ht="48" customHeight="1" x14ac:dyDescent="0.2">
      <c r="A37" s="165">
        <v>35</v>
      </c>
      <c r="B37" s="11" t="s">
        <v>14</v>
      </c>
      <c r="C37" s="34" t="s">
        <v>43</v>
      </c>
      <c r="D37" s="20" t="s">
        <v>16</v>
      </c>
      <c r="E37" s="20" t="s">
        <v>175</v>
      </c>
      <c r="F37" s="162" t="s">
        <v>65</v>
      </c>
      <c r="G37" s="11" t="s">
        <v>176</v>
      </c>
      <c r="H37" s="173" t="s">
        <v>177</v>
      </c>
      <c r="I37" s="11" t="s">
        <v>178</v>
      </c>
      <c r="J37" s="224">
        <v>6</v>
      </c>
      <c r="K37" s="224"/>
      <c r="L37" s="79">
        <f>19+19+18+20+19+19</f>
        <v>114</v>
      </c>
    </row>
    <row r="38" spans="1:12" ht="48" customHeight="1" x14ac:dyDescent="0.2">
      <c r="A38" s="165">
        <v>36</v>
      </c>
      <c r="B38" s="11" t="s">
        <v>14</v>
      </c>
      <c r="C38" s="34" t="s">
        <v>43</v>
      </c>
      <c r="D38" s="20" t="s">
        <v>16</v>
      </c>
      <c r="E38" s="20" t="s">
        <v>179</v>
      </c>
      <c r="F38" s="162" t="s">
        <v>180</v>
      </c>
      <c r="G38" s="11" t="s">
        <v>181</v>
      </c>
      <c r="H38" s="173" t="s">
        <v>182</v>
      </c>
      <c r="I38" s="11" t="s">
        <v>183</v>
      </c>
      <c r="J38" s="224">
        <v>5</v>
      </c>
      <c r="K38" s="224"/>
      <c r="L38" s="79">
        <f>25+24+24+23+24</f>
        <v>120</v>
      </c>
    </row>
    <row r="39" spans="1:12" ht="48" customHeight="1" x14ac:dyDescent="0.2">
      <c r="A39" s="165">
        <v>37</v>
      </c>
      <c r="B39" s="11" t="s">
        <v>14</v>
      </c>
      <c r="C39" s="34" t="s">
        <v>43</v>
      </c>
      <c r="D39" s="20" t="s">
        <v>16</v>
      </c>
      <c r="E39" s="20" t="s">
        <v>184</v>
      </c>
      <c r="F39" s="162" t="s">
        <v>60</v>
      </c>
      <c r="G39" s="11" t="s">
        <v>185</v>
      </c>
      <c r="H39" s="188" t="s">
        <v>186</v>
      </c>
      <c r="I39" s="11" t="s">
        <v>187</v>
      </c>
      <c r="J39" s="224">
        <v>9</v>
      </c>
      <c r="K39" s="224"/>
      <c r="L39" s="79">
        <f>18+19+18+22+21+21+24+24+24</f>
        <v>191</v>
      </c>
    </row>
    <row r="40" spans="1:12" ht="48" customHeight="1" x14ac:dyDescent="0.2">
      <c r="A40" s="165">
        <v>38</v>
      </c>
      <c r="B40" s="11" t="s">
        <v>14</v>
      </c>
      <c r="C40" s="34" t="s">
        <v>43</v>
      </c>
      <c r="D40" s="20" t="s">
        <v>16</v>
      </c>
      <c r="E40" s="20" t="s">
        <v>188</v>
      </c>
      <c r="F40" s="208" t="s">
        <v>189</v>
      </c>
      <c r="G40" s="69" t="s">
        <v>190</v>
      </c>
      <c r="H40" s="209" t="s">
        <v>141</v>
      </c>
      <c r="I40" s="69" t="s">
        <v>142</v>
      </c>
      <c r="J40" s="224">
        <v>4</v>
      </c>
      <c r="K40" s="224"/>
      <c r="L40" s="79">
        <f>15+15+15+15</f>
        <v>60</v>
      </c>
    </row>
    <row r="41" spans="1:12" ht="48" customHeight="1" x14ac:dyDescent="0.2">
      <c r="A41" s="165">
        <v>39</v>
      </c>
      <c r="B41" s="11" t="s">
        <v>14</v>
      </c>
      <c r="C41" s="34" t="s">
        <v>43</v>
      </c>
      <c r="D41" s="20" t="s">
        <v>16</v>
      </c>
      <c r="E41" s="20" t="s">
        <v>191</v>
      </c>
      <c r="F41" s="162" t="s">
        <v>65</v>
      </c>
      <c r="G41" s="11" t="s">
        <v>192</v>
      </c>
      <c r="H41" s="173" t="s">
        <v>193</v>
      </c>
      <c r="I41" s="11" t="s">
        <v>194</v>
      </c>
      <c r="J41" s="224">
        <v>4</v>
      </c>
      <c r="K41" s="224"/>
      <c r="L41" s="79">
        <f>20+22+16+17</f>
        <v>75</v>
      </c>
    </row>
    <row r="42" spans="1:12" ht="48" customHeight="1" x14ac:dyDescent="0.2">
      <c r="A42" s="165">
        <v>40</v>
      </c>
      <c r="B42" s="11" t="s">
        <v>14</v>
      </c>
      <c r="C42" s="34" t="s">
        <v>43</v>
      </c>
      <c r="D42" s="20" t="s">
        <v>16</v>
      </c>
      <c r="E42" s="20" t="s">
        <v>195</v>
      </c>
      <c r="F42" s="162" t="s">
        <v>102</v>
      </c>
      <c r="G42" s="11" t="s">
        <v>196</v>
      </c>
      <c r="H42" s="173" t="s">
        <v>197</v>
      </c>
      <c r="I42" s="11" t="s">
        <v>198</v>
      </c>
      <c r="J42" s="224">
        <v>4</v>
      </c>
      <c r="K42" s="224"/>
      <c r="L42" s="79">
        <f>15+15+15+22</f>
        <v>67</v>
      </c>
    </row>
    <row r="43" spans="1:12" ht="48" customHeight="1" x14ac:dyDescent="0.2">
      <c r="A43" s="165">
        <v>41</v>
      </c>
      <c r="B43" s="11" t="s">
        <v>14</v>
      </c>
      <c r="C43" s="34" t="s">
        <v>43</v>
      </c>
      <c r="D43" s="20" t="s">
        <v>16</v>
      </c>
      <c r="E43" s="20" t="s">
        <v>199</v>
      </c>
      <c r="F43" s="162" t="s">
        <v>200</v>
      </c>
      <c r="G43" s="11" t="s">
        <v>201</v>
      </c>
      <c r="H43" s="173" t="s">
        <v>202</v>
      </c>
      <c r="I43" s="11" t="s">
        <v>203</v>
      </c>
      <c r="J43" s="79">
        <v>2</v>
      </c>
      <c r="K43" s="79"/>
      <c r="L43" s="79">
        <f>16+19</f>
        <v>35</v>
      </c>
    </row>
    <row r="44" spans="1:12" ht="48" customHeight="1" x14ac:dyDescent="0.2">
      <c r="A44" s="165">
        <v>42</v>
      </c>
      <c r="B44" s="11" t="s">
        <v>14</v>
      </c>
      <c r="C44" s="34" t="s">
        <v>43</v>
      </c>
      <c r="D44" s="20" t="s">
        <v>16</v>
      </c>
      <c r="E44" s="20" t="s">
        <v>204</v>
      </c>
      <c r="F44" s="162" t="s">
        <v>205</v>
      </c>
      <c r="G44" s="11" t="s">
        <v>206</v>
      </c>
      <c r="H44" s="173" t="s">
        <v>207</v>
      </c>
      <c r="I44" s="11" t="s">
        <v>208</v>
      </c>
      <c r="J44" s="224">
        <v>3</v>
      </c>
      <c r="K44" s="224"/>
      <c r="L44" s="224">
        <f>28+26+26</f>
        <v>80</v>
      </c>
    </row>
    <row r="45" spans="1:12" ht="48" customHeight="1" x14ac:dyDescent="0.2">
      <c r="A45" s="165">
        <v>43</v>
      </c>
      <c r="B45" s="11" t="s">
        <v>14</v>
      </c>
      <c r="C45" s="34" t="s">
        <v>43</v>
      </c>
      <c r="D45" s="20" t="s">
        <v>16</v>
      </c>
      <c r="E45" s="20" t="s">
        <v>209</v>
      </c>
      <c r="F45" s="162" t="s">
        <v>210</v>
      </c>
      <c r="G45" s="11" t="s">
        <v>211</v>
      </c>
      <c r="H45" s="173">
        <v>91010750932</v>
      </c>
      <c r="I45" s="11" t="s">
        <v>212</v>
      </c>
      <c r="J45" s="224">
        <v>2</v>
      </c>
      <c r="K45" s="224"/>
      <c r="L45" s="79">
        <f>18+18</f>
        <v>36</v>
      </c>
    </row>
    <row r="46" spans="1:12" ht="48" customHeight="1" x14ac:dyDescent="0.2">
      <c r="A46" s="165">
        <v>44</v>
      </c>
      <c r="B46" s="11" t="s">
        <v>14</v>
      </c>
      <c r="C46" s="34" t="s">
        <v>43</v>
      </c>
      <c r="D46" s="20" t="s">
        <v>16</v>
      </c>
      <c r="E46" s="20" t="s">
        <v>213</v>
      </c>
      <c r="F46" s="208" t="s">
        <v>214</v>
      </c>
      <c r="G46" s="11" t="s">
        <v>215</v>
      </c>
      <c r="H46" s="173" t="s">
        <v>216</v>
      </c>
      <c r="I46" s="11" t="s">
        <v>217</v>
      </c>
      <c r="J46" s="224">
        <v>3</v>
      </c>
      <c r="K46" s="224"/>
      <c r="L46" s="79">
        <f>19+15+15</f>
        <v>49</v>
      </c>
    </row>
    <row r="47" spans="1:12" ht="48" customHeight="1" x14ac:dyDescent="0.2">
      <c r="A47" s="165">
        <v>45</v>
      </c>
      <c r="B47" s="11" t="s">
        <v>14</v>
      </c>
      <c r="C47" s="34" t="s">
        <v>43</v>
      </c>
      <c r="D47" s="20" t="s">
        <v>16</v>
      </c>
      <c r="E47" s="20" t="s">
        <v>218</v>
      </c>
      <c r="F47" s="162" t="s">
        <v>219</v>
      </c>
      <c r="G47" s="11" t="s">
        <v>220</v>
      </c>
      <c r="H47" s="173" t="s">
        <v>221</v>
      </c>
      <c r="I47" s="11" t="s">
        <v>222</v>
      </c>
      <c r="J47" s="224">
        <v>4</v>
      </c>
      <c r="K47" s="224"/>
      <c r="L47" s="79">
        <f>21+18+21+20</f>
        <v>80</v>
      </c>
    </row>
    <row r="48" spans="1:12" ht="48" customHeight="1" x14ac:dyDescent="0.2">
      <c r="A48" s="165">
        <v>46</v>
      </c>
      <c r="B48" s="11" t="s">
        <v>14</v>
      </c>
      <c r="C48" s="34" t="s">
        <v>43</v>
      </c>
      <c r="D48" s="20" t="s">
        <v>16</v>
      </c>
      <c r="E48" s="20" t="s">
        <v>223</v>
      </c>
      <c r="F48" s="162" t="s">
        <v>224</v>
      </c>
      <c r="G48" s="11" t="s">
        <v>225</v>
      </c>
      <c r="H48" s="173" t="s">
        <v>226</v>
      </c>
      <c r="I48" s="11" t="s">
        <v>227</v>
      </c>
      <c r="J48" s="224">
        <v>4</v>
      </c>
      <c r="K48" s="224"/>
      <c r="L48" s="79">
        <f>21+21+17+22</f>
        <v>81</v>
      </c>
    </row>
    <row r="49" spans="1:12" ht="48" customHeight="1" x14ac:dyDescent="0.2">
      <c r="A49" s="165">
        <v>47</v>
      </c>
      <c r="B49" s="11" t="s">
        <v>14</v>
      </c>
      <c r="C49" s="34" t="s">
        <v>43</v>
      </c>
      <c r="D49" s="20" t="s">
        <v>16</v>
      </c>
      <c r="E49" s="20" t="s">
        <v>228</v>
      </c>
      <c r="F49" s="162" t="s">
        <v>229</v>
      </c>
      <c r="G49" s="11" t="s">
        <v>230</v>
      </c>
      <c r="H49" s="173" t="s">
        <v>231</v>
      </c>
      <c r="I49" s="11" t="s">
        <v>232</v>
      </c>
      <c r="J49" s="224">
        <v>2</v>
      </c>
      <c r="K49" s="224"/>
      <c r="L49" s="79">
        <f>22+16</f>
        <v>38</v>
      </c>
    </row>
    <row r="50" spans="1:12" ht="48" customHeight="1" x14ac:dyDescent="0.2">
      <c r="A50" s="165">
        <v>48</v>
      </c>
      <c r="B50" s="11" t="s">
        <v>14</v>
      </c>
      <c r="C50" s="34" t="s">
        <v>43</v>
      </c>
      <c r="D50" s="20" t="s">
        <v>16</v>
      </c>
      <c r="E50" s="20" t="s">
        <v>233</v>
      </c>
      <c r="F50" s="162" t="s">
        <v>234</v>
      </c>
      <c r="G50" s="11" t="s">
        <v>235</v>
      </c>
      <c r="H50" s="173" t="s">
        <v>226</v>
      </c>
      <c r="I50" s="11" t="s">
        <v>227</v>
      </c>
      <c r="J50" s="224">
        <v>3</v>
      </c>
      <c r="K50" s="224"/>
      <c r="L50" s="79">
        <f>23+26+22</f>
        <v>71</v>
      </c>
    </row>
    <row r="51" spans="1:12" ht="48" customHeight="1" x14ac:dyDescent="0.2">
      <c r="A51" s="165">
        <v>49</v>
      </c>
      <c r="B51" s="11" t="s">
        <v>14</v>
      </c>
      <c r="C51" s="34" t="s">
        <v>43</v>
      </c>
      <c r="D51" s="20" t="s">
        <v>16</v>
      </c>
      <c r="E51" s="20" t="s">
        <v>236</v>
      </c>
      <c r="F51" s="162" t="s">
        <v>237</v>
      </c>
      <c r="G51" s="11" t="s">
        <v>238</v>
      </c>
      <c r="H51" s="173" t="s">
        <v>239</v>
      </c>
      <c r="I51" s="11" t="s">
        <v>240</v>
      </c>
      <c r="J51" s="224">
        <v>1</v>
      </c>
      <c r="K51" s="224"/>
      <c r="L51" s="79">
        <v>16</v>
      </c>
    </row>
    <row r="52" spans="1:12" ht="48" customHeight="1" x14ac:dyDescent="0.2">
      <c r="A52" s="165">
        <v>50</v>
      </c>
      <c r="B52" s="11" t="s">
        <v>14</v>
      </c>
      <c r="C52" s="34" t="s">
        <v>43</v>
      </c>
      <c r="D52" s="20" t="s">
        <v>16</v>
      </c>
      <c r="E52" s="20" t="s">
        <v>241</v>
      </c>
      <c r="F52" s="162" t="s">
        <v>242</v>
      </c>
      <c r="G52" s="11" t="s">
        <v>225</v>
      </c>
      <c r="H52" s="173" t="s">
        <v>243</v>
      </c>
      <c r="I52" s="11" t="s">
        <v>244</v>
      </c>
      <c r="J52" s="224">
        <v>4</v>
      </c>
      <c r="K52" s="224"/>
      <c r="L52" s="79">
        <f>6+5+6+5</f>
        <v>22</v>
      </c>
    </row>
    <row r="53" spans="1:12" ht="48" customHeight="1" x14ac:dyDescent="0.2">
      <c r="A53" s="165">
        <v>51</v>
      </c>
      <c r="B53" s="11"/>
      <c r="C53" s="34" t="s">
        <v>43</v>
      </c>
      <c r="D53" s="20" t="s">
        <v>16</v>
      </c>
      <c r="E53" s="20" t="s">
        <v>245</v>
      </c>
      <c r="F53" s="162" t="s">
        <v>246</v>
      </c>
      <c r="G53" s="11" t="s">
        <v>247</v>
      </c>
      <c r="H53" s="188" t="s">
        <v>141</v>
      </c>
      <c r="I53" s="11" t="s">
        <v>142</v>
      </c>
      <c r="J53" s="224">
        <v>3</v>
      </c>
      <c r="K53" s="224"/>
      <c r="L53" s="79">
        <f>15+15+16</f>
        <v>46</v>
      </c>
    </row>
    <row r="54" spans="1:12" ht="48" customHeight="1" x14ac:dyDescent="0.2">
      <c r="A54" s="165">
        <v>52</v>
      </c>
      <c r="B54" s="11" t="s">
        <v>14</v>
      </c>
      <c r="C54" s="34" t="s">
        <v>43</v>
      </c>
      <c r="D54" s="20" t="s">
        <v>16</v>
      </c>
      <c r="E54" s="20" t="s">
        <v>248</v>
      </c>
      <c r="F54" s="162" t="s">
        <v>249</v>
      </c>
      <c r="G54" s="11" t="s">
        <v>247</v>
      </c>
      <c r="H54" s="173" t="s">
        <v>250</v>
      </c>
      <c r="I54" s="11" t="s">
        <v>251</v>
      </c>
      <c r="J54" s="224">
        <v>3</v>
      </c>
      <c r="K54" s="224"/>
      <c r="L54" s="79">
        <f>16+16+15</f>
        <v>47</v>
      </c>
    </row>
    <row r="55" spans="1:12" ht="48" customHeight="1" x14ac:dyDescent="0.2">
      <c r="A55" s="165">
        <v>53</v>
      </c>
      <c r="B55" s="11" t="s">
        <v>14</v>
      </c>
      <c r="C55" s="34" t="s">
        <v>43</v>
      </c>
      <c r="D55" s="20" t="s">
        <v>16</v>
      </c>
      <c r="E55" s="20" t="s">
        <v>252</v>
      </c>
      <c r="F55" s="162" t="s">
        <v>253</v>
      </c>
      <c r="G55" s="11" t="s">
        <v>254</v>
      </c>
      <c r="H55" s="173" t="s">
        <v>255</v>
      </c>
      <c r="I55" s="11" t="s">
        <v>256</v>
      </c>
      <c r="J55" s="224">
        <v>3</v>
      </c>
      <c r="K55" s="224"/>
      <c r="L55" s="79">
        <f>19+16+16</f>
        <v>51</v>
      </c>
    </row>
    <row r="56" spans="1:12" ht="48" customHeight="1" x14ac:dyDescent="0.2">
      <c r="A56" s="165">
        <v>54</v>
      </c>
      <c r="B56" s="11" t="s">
        <v>14</v>
      </c>
      <c r="C56" s="34" t="s">
        <v>43</v>
      </c>
      <c r="D56" s="20" t="s">
        <v>16</v>
      </c>
      <c r="E56" s="20" t="s">
        <v>257</v>
      </c>
      <c r="F56" s="162" t="s">
        <v>258</v>
      </c>
      <c r="G56" s="11" t="s">
        <v>259</v>
      </c>
      <c r="H56" s="173" t="s">
        <v>260</v>
      </c>
      <c r="I56" s="11" t="s">
        <v>261</v>
      </c>
      <c r="J56" s="224">
        <v>3</v>
      </c>
      <c r="K56" s="224"/>
      <c r="L56" s="79">
        <f>24+22+18</f>
        <v>64</v>
      </c>
    </row>
    <row r="57" spans="1:12" ht="48" customHeight="1" x14ac:dyDescent="0.2">
      <c r="A57" s="165">
        <v>55</v>
      </c>
      <c r="B57" s="11" t="s">
        <v>14</v>
      </c>
      <c r="C57" s="34" t="s">
        <v>43</v>
      </c>
      <c r="D57" s="20" t="s">
        <v>16</v>
      </c>
      <c r="E57" s="20" t="s">
        <v>262</v>
      </c>
      <c r="F57" s="162" t="s">
        <v>263</v>
      </c>
      <c r="G57" s="11" t="s">
        <v>264</v>
      </c>
      <c r="H57" s="173" t="s">
        <v>265</v>
      </c>
      <c r="I57" s="11" t="s">
        <v>266</v>
      </c>
      <c r="J57" s="224">
        <v>3</v>
      </c>
      <c r="K57" s="224"/>
      <c r="L57" s="79">
        <f>16+23+15</f>
        <v>54</v>
      </c>
    </row>
    <row r="58" spans="1:12" ht="48" customHeight="1" x14ac:dyDescent="0.2">
      <c r="A58" s="165">
        <v>56</v>
      </c>
      <c r="B58" s="11" t="s">
        <v>14</v>
      </c>
      <c r="C58" s="34" t="s">
        <v>43</v>
      </c>
      <c r="D58" s="20" t="s">
        <v>16</v>
      </c>
      <c r="E58" s="20" t="s">
        <v>267</v>
      </c>
      <c r="F58" s="162" t="s">
        <v>268</v>
      </c>
      <c r="G58" s="11" t="s">
        <v>269</v>
      </c>
      <c r="H58" s="173" t="s">
        <v>270</v>
      </c>
      <c r="I58" s="11" t="s">
        <v>271</v>
      </c>
      <c r="J58" s="224">
        <v>2</v>
      </c>
      <c r="K58" s="224"/>
      <c r="L58" s="79">
        <f>21*2</f>
        <v>42</v>
      </c>
    </row>
    <row r="59" spans="1:12" ht="48" customHeight="1" x14ac:dyDescent="0.2">
      <c r="A59" s="165">
        <v>57</v>
      </c>
      <c r="B59" s="11" t="s">
        <v>14</v>
      </c>
      <c r="C59" s="34" t="s">
        <v>43</v>
      </c>
      <c r="D59" s="20" t="s">
        <v>16</v>
      </c>
      <c r="E59" s="20" t="s">
        <v>272</v>
      </c>
      <c r="F59" s="162" t="s">
        <v>144</v>
      </c>
      <c r="G59" s="11" t="s">
        <v>273</v>
      </c>
      <c r="H59" s="173" t="s">
        <v>274</v>
      </c>
      <c r="I59" s="11" t="s">
        <v>275</v>
      </c>
      <c r="J59" s="224">
        <v>1</v>
      </c>
      <c r="K59" s="224"/>
      <c r="L59" s="79">
        <v>25</v>
      </c>
    </row>
    <row r="60" spans="1:12" ht="48" customHeight="1" x14ac:dyDescent="0.2">
      <c r="A60" s="165">
        <v>58</v>
      </c>
      <c r="B60" s="11" t="s">
        <v>14</v>
      </c>
      <c r="C60" s="34" t="s">
        <v>43</v>
      </c>
      <c r="D60" s="20" t="s">
        <v>16</v>
      </c>
      <c r="E60" s="20" t="s">
        <v>276</v>
      </c>
      <c r="F60" s="162" t="s">
        <v>277</v>
      </c>
      <c r="G60" s="11" t="s">
        <v>278</v>
      </c>
      <c r="H60" s="173" t="s">
        <v>279</v>
      </c>
      <c r="I60" s="11" t="s">
        <v>280</v>
      </c>
      <c r="J60" s="224">
        <v>1</v>
      </c>
      <c r="K60" s="224"/>
      <c r="L60" s="79">
        <v>16</v>
      </c>
    </row>
    <row r="61" spans="1:12" ht="48" customHeight="1" x14ac:dyDescent="0.2">
      <c r="A61" s="165">
        <v>59</v>
      </c>
      <c r="B61" s="11" t="s">
        <v>14</v>
      </c>
      <c r="C61" s="34" t="s">
        <v>43</v>
      </c>
      <c r="D61" s="20" t="s">
        <v>16</v>
      </c>
      <c r="E61" s="20" t="s">
        <v>281</v>
      </c>
      <c r="F61" s="162" t="s">
        <v>282</v>
      </c>
      <c r="G61" s="11" t="s">
        <v>283</v>
      </c>
      <c r="H61" s="173" t="s">
        <v>284</v>
      </c>
      <c r="I61" s="11" t="s">
        <v>285</v>
      </c>
      <c r="J61" s="224">
        <v>3</v>
      </c>
      <c r="K61" s="224"/>
      <c r="L61" s="79">
        <f>16+20+19</f>
        <v>55</v>
      </c>
    </row>
    <row r="62" spans="1:12" ht="48" customHeight="1" x14ac:dyDescent="0.2">
      <c r="A62" s="165">
        <v>60</v>
      </c>
      <c r="B62" s="11" t="s">
        <v>14</v>
      </c>
      <c r="C62" s="20" t="s">
        <v>43</v>
      </c>
      <c r="D62" s="50" t="s">
        <v>16</v>
      </c>
      <c r="E62" s="50" t="s">
        <v>286</v>
      </c>
      <c r="F62" s="167" t="s">
        <v>287</v>
      </c>
      <c r="G62" s="47" t="s">
        <v>288</v>
      </c>
      <c r="H62" s="173" t="s">
        <v>289</v>
      </c>
      <c r="I62" s="11" t="s">
        <v>290</v>
      </c>
      <c r="J62" s="226">
        <v>3</v>
      </c>
      <c r="K62" s="226"/>
      <c r="L62" s="215">
        <f>19+24+24</f>
        <v>67</v>
      </c>
    </row>
    <row r="63" spans="1:12" ht="48" customHeight="1" thickBot="1" x14ac:dyDescent="0.25">
      <c r="A63" s="165">
        <v>61</v>
      </c>
      <c r="B63" s="12"/>
      <c r="C63" s="186" t="s">
        <v>43</v>
      </c>
      <c r="D63" s="26" t="s">
        <v>16</v>
      </c>
      <c r="E63" s="26" t="s">
        <v>291</v>
      </c>
      <c r="F63" s="168" t="s">
        <v>292</v>
      </c>
      <c r="G63" s="12" t="s">
        <v>159</v>
      </c>
      <c r="H63" s="189" t="s">
        <v>293</v>
      </c>
      <c r="I63" s="187" t="s">
        <v>294</v>
      </c>
      <c r="J63" s="163">
        <v>3</v>
      </c>
      <c r="K63" s="163"/>
      <c r="L63" s="163">
        <f>18*3</f>
        <v>54</v>
      </c>
    </row>
    <row r="64" spans="1:12" ht="48" customHeight="1" x14ac:dyDescent="0.2">
      <c r="A64" s="165">
        <v>62</v>
      </c>
      <c r="B64" s="13" t="s">
        <v>295</v>
      </c>
      <c r="C64" s="34" t="s">
        <v>296</v>
      </c>
      <c r="D64" s="34" t="s">
        <v>16</v>
      </c>
      <c r="E64" s="34" t="s">
        <v>297</v>
      </c>
      <c r="F64" s="166" t="s">
        <v>298</v>
      </c>
      <c r="G64" s="13" t="s">
        <v>2</v>
      </c>
      <c r="H64" s="172" t="s">
        <v>299</v>
      </c>
      <c r="I64" s="13" t="s">
        <v>300</v>
      </c>
      <c r="J64" s="224">
        <v>1</v>
      </c>
      <c r="K64" s="224"/>
      <c r="L64" s="224">
        <v>20</v>
      </c>
    </row>
    <row r="65" spans="1:12" ht="48" customHeight="1" x14ac:dyDescent="0.2">
      <c r="A65" s="165">
        <v>63</v>
      </c>
      <c r="B65" s="11" t="s">
        <v>14</v>
      </c>
      <c r="C65" s="34" t="s">
        <v>296</v>
      </c>
      <c r="D65" s="20" t="s">
        <v>16</v>
      </c>
      <c r="E65" s="20" t="s">
        <v>301</v>
      </c>
      <c r="F65" s="162" t="s">
        <v>302</v>
      </c>
      <c r="G65" s="11" t="s">
        <v>2</v>
      </c>
      <c r="H65" s="173" t="s">
        <v>303</v>
      </c>
      <c r="I65" s="11" t="s">
        <v>304</v>
      </c>
      <c r="J65" s="224">
        <v>3</v>
      </c>
      <c r="K65" s="224"/>
      <c r="L65" s="79">
        <f>15+14+15</f>
        <v>44</v>
      </c>
    </row>
    <row r="66" spans="1:12" ht="48" customHeight="1" x14ac:dyDescent="0.2">
      <c r="A66" s="165">
        <v>64</v>
      </c>
      <c r="B66" s="11" t="s">
        <v>295</v>
      </c>
      <c r="C66" s="34" t="s">
        <v>296</v>
      </c>
      <c r="D66" s="20" t="s">
        <v>16</v>
      </c>
      <c r="E66" s="20" t="s">
        <v>305</v>
      </c>
      <c r="F66" s="162" t="s">
        <v>306</v>
      </c>
      <c r="G66" s="11" t="s">
        <v>2</v>
      </c>
      <c r="H66" s="173" t="s">
        <v>299</v>
      </c>
      <c r="I66" s="11" t="s">
        <v>300</v>
      </c>
      <c r="J66" s="224">
        <v>4</v>
      </c>
      <c r="K66" s="224"/>
      <c r="L66" s="79">
        <v>71</v>
      </c>
    </row>
    <row r="67" spans="1:12" ht="48" customHeight="1" x14ac:dyDescent="0.2">
      <c r="A67" s="165">
        <v>65</v>
      </c>
      <c r="B67" s="11" t="s">
        <v>295</v>
      </c>
      <c r="C67" s="34" t="s">
        <v>296</v>
      </c>
      <c r="D67" s="20" t="s">
        <v>16</v>
      </c>
      <c r="E67" s="20" t="s">
        <v>307</v>
      </c>
      <c r="F67" s="162" t="s">
        <v>308</v>
      </c>
      <c r="G67" s="11" t="s">
        <v>2</v>
      </c>
      <c r="H67" s="173" t="s">
        <v>299</v>
      </c>
      <c r="I67" s="11" t="s">
        <v>300</v>
      </c>
      <c r="J67" s="224">
        <v>3</v>
      </c>
      <c r="K67" s="224"/>
      <c r="L67" s="79">
        <v>68</v>
      </c>
    </row>
    <row r="68" spans="1:12" ht="48" customHeight="1" x14ac:dyDescent="0.2">
      <c r="A68" s="165">
        <v>66</v>
      </c>
      <c r="B68" s="11" t="s">
        <v>295</v>
      </c>
      <c r="C68" s="34" t="s">
        <v>296</v>
      </c>
      <c r="D68" s="20" t="s">
        <v>16</v>
      </c>
      <c r="E68" s="20" t="s">
        <v>309</v>
      </c>
      <c r="F68" s="162" t="s">
        <v>310</v>
      </c>
      <c r="G68" s="11" t="s">
        <v>2</v>
      </c>
      <c r="H68" s="173" t="s">
        <v>299</v>
      </c>
      <c r="I68" s="11" t="s">
        <v>300</v>
      </c>
      <c r="J68" s="224">
        <v>5</v>
      </c>
      <c r="K68" s="224"/>
      <c r="L68" s="79">
        <v>90</v>
      </c>
    </row>
    <row r="69" spans="1:12" ht="48" customHeight="1" x14ac:dyDescent="0.2">
      <c r="A69" s="165">
        <v>67</v>
      </c>
      <c r="B69" s="11" t="s">
        <v>14</v>
      </c>
      <c r="C69" s="34" t="s">
        <v>296</v>
      </c>
      <c r="D69" s="20" t="s">
        <v>16</v>
      </c>
      <c r="E69" s="20" t="s">
        <v>311</v>
      </c>
      <c r="F69" s="162" t="s">
        <v>312</v>
      </c>
      <c r="G69" s="11" t="s">
        <v>2</v>
      </c>
      <c r="H69" s="173" t="s">
        <v>313</v>
      </c>
      <c r="I69" s="11" t="s">
        <v>314</v>
      </c>
      <c r="J69" s="224">
        <v>4</v>
      </c>
      <c r="K69" s="224"/>
      <c r="L69" s="79">
        <f>15+15+15+16</f>
        <v>61</v>
      </c>
    </row>
    <row r="70" spans="1:12" ht="48" customHeight="1" x14ac:dyDescent="0.2">
      <c r="A70" s="165">
        <v>68</v>
      </c>
      <c r="B70" s="11" t="s">
        <v>14</v>
      </c>
      <c r="C70" s="34" t="s">
        <v>296</v>
      </c>
      <c r="D70" s="20" t="s">
        <v>16</v>
      </c>
      <c r="E70" s="20" t="s">
        <v>315</v>
      </c>
      <c r="F70" s="162" t="s">
        <v>316</v>
      </c>
      <c r="G70" s="11" t="s">
        <v>2</v>
      </c>
      <c r="H70" s="173" t="s">
        <v>317</v>
      </c>
      <c r="I70" s="11" t="s">
        <v>318</v>
      </c>
      <c r="J70" s="224">
        <v>3</v>
      </c>
      <c r="K70" s="224"/>
      <c r="L70" s="79">
        <f>23+25+17</f>
        <v>65</v>
      </c>
    </row>
    <row r="71" spans="1:12" ht="48" customHeight="1" x14ac:dyDescent="0.2">
      <c r="A71" s="165">
        <v>69</v>
      </c>
      <c r="B71" s="11" t="s">
        <v>295</v>
      </c>
      <c r="C71" s="34" t="s">
        <v>296</v>
      </c>
      <c r="D71" s="20" t="s">
        <v>16</v>
      </c>
      <c r="E71" s="20" t="s">
        <v>319</v>
      </c>
      <c r="F71" s="162" t="s">
        <v>320</v>
      </c>
      <c r="G71" s="11" t="s">
        <v>2</v>
      </c>
      <c r="H71" s="173" t="s">
        <v>299</v>
      </c>
      <c r="I71" s="11" t="s">
        <v>300</v>
      </c>
      <c r="J71" s="224">
        <v>3</v>
      </c>
      <c r="K71" s="224"/>
      <c r="L71" s="79">
        <v>68</v>
      </c>
    </row>
    <row r="72" spans="1:12" ht="48" customHeight="1" x14ac:dyDescent="0.2">
      <c r="A72" s="165">
        <v>70</v>
      </c>
      <c r="B72" s="11" t="s">
        <v>14</v>
      </c>
      <c r="C72" s="34" t="s">
        <v>296</v>
      </c>
      <c r="D72" s="20" t="s">
        <v>16</v>
      </c>
      <c r="E72" s="20" t="s">
        <v>321</v>
      </c>
      <c r="F72" s="162" t="s">
        <v>322</v>
      </c>
      <c r="G72" s="11" t="s">
        <v>2</v>
      </c>
      <c r="H72" s="173" t="s">
        <v>323</v>
      </c>
      <c r="I72" s="11" t="s">
        <v>324</v>
      </c>
      <c r="J72" s="224">
        <v>2</v>
      </c>
      <c r="K72" s="224"/>
      <c r="L72" s="79">
        <f>18+16</f>
        <v>34</v>
      </c>
    </row>
    <row r="73" spans="1:12" ht="48" customHeight="1" x14ac:dyDescent="0.2">
      <c r="A73" s="165">
        <v>71</v>
      </c>
      <c r="B73" s="11" t="s">
        <v>295</v>
      </c>
      <c r="C73" s="34" t="s">
        <v>296</v>
      </c>
      <c r="D73" s="20" t="s">
        <v>16</v>
      </c>
      <c r="E73" s="20" t="s">
        <v>325</v>
      </c>
      <c r="F73" s="162" t="s">
        <v>326</v>
      </c>
      <c r="G73" s="11" t="s">
        <v>2</v>
      </c>
      <c r="H73" s="173" t="s">
        <v>299</v>
      </c>
      <c r="I73" s="11" t="s">
        <v>300</v>
      </c>
      <c r="J73" s="224">
        <v>3</v>
      </c>
      <c r="K73" s="224"/>
      <c r="L73" s="79">
        <v>62</v>
      </c>
    </row>
    <row r="74" spans="1:12" ht="48" customHeight="1" x14ac:dyDescent="0.2">
      <c r="A74" s="165">
        <v>72</v>
      </c>
      <c r="B74" s="11" t="s">
        <v>295</v>
      </c>
      <c r="C74" s="34" t="s">
        <v>296</v>
      </c>
      <c r="D74" s="20" t="s">
        <v>16</v>
      </c>
      <c r="E74" s="20" t="s">
        <v>327</v>
      </c>
      <c r="F74" s="162" t="s">
        <v>328</v>
      </c>
      <c r="G74" s="11" t="s">
        <v>2</v>
      </c>
      <c r="H74" s="173" t="s">
        <v>299</v>
      </c>
      <c r="I74" s="11" t="s">
        <v>300</v>
      </c>
      <c r="J74" s="224">
        <v>6</v>
      </c>
      <c r="K74" s="224"/>
      <c r="L74" s="79">
        <v>115</v>
      </c>
    </row>
    <row r="75" spans="1:12" ht="48" customHeight="1" x14ac:dyDescent="0.2">
      <c r="A75" s="165">
        <v>73</v>
      </c>
      <c r="B75" s="11" t="s">
        <v>295</v>
      </c>
      <c r="C75" s="34" t="s">
        <v>296</v>
      </c>
      <c r="D75" s="20" t="s">
        <v>16</v>
      </c>
      <c r="E75" s="20" t="s">
        <v>329</v>
      </c>
      <c r="F75" s="162" t="s">
        <v>330</v>
      </c>
      <c r="G75" s="11" t="s">
        <v>2</v>
      </c>
      <c r="H75" s="173" t="s">
        <v>299</v>
      </c>
      <c r="I75" s="11" t="s">
        <v>300</v>
      </c>
      <c r="J75" s="224">
        <v>6</v>
      </c>
      <c r="K75" s="224"/>
      <c r="L75" s="79">
        <v>114</v>
      </c>
    </row>
    <row r="76" spans="1:12" ht="48" customHeight="1" x14ac:dyDescent="0.2">
      <c r="A76" s="165">
        <v>74</v>
      </c>
      <c r="B76" s="11" t="s">
        <v>14</v>
      </c>
      <c r="C76" s="34" t="s">
        <v>296</v>
      </c>
      <c r="D76" s="20" t="s">
        <v>16</v>
      </c>
      <c r="E76" s="20" t="s">
        <v>331</v>
      </c>
      <c r="F76" s="162" t="s">
        <v>332</v>
      </c>
      <c r="G76" s="11" t="s">
        <v>2</v>
      </c>
      <c r="H76" s="173" t="s">
        <v>333</v>
      </c>
      <c r="I76" s="11" t="s">
        <v>334</v>
      </c>
      <c r="J76" s="224">
        <v>3</v>
      </c>
      <c r="K76" s="224"/>
      <c r="L76" s="79">
        <f>25+23+22</f>
        <v>70</v>
      </c>
    </row>
    <row r="77" spans="1:12" ht="48" customHeight="1" x14ac:dyDescent="0.2">
      <c r="A77" s="165">
        <v>75</v>
      </c>
      <c r="B77" s="11" t="s">
        <v>14</v>
      </c>
      <c r="C77" s="34" t="s">
        <v>296</v>
      </c>
      <c r="D77" s="20" t="s">
        <v>16</v>
      </c>
      <c r="E77" s="20" t="s">
        <v>335</v>
      </c>
      <c r="F77" s="162" t="s">
        <v>336</v>
      </c>
      <c r="G77" s="11" t="s">
        <v>2</v>
      </c>
      <c r="H77" s="173" t="s">
        <v>337</v>
      </c>
      <c r="I77" s="11" t="s">
        <v>338</v>
      </c>
      <c r="J77" s="224">
        <v>2</v>
      </c>
      <c r="K77" s="224"/>
      <c r="L77" s="79">
        <f>19+19</f>
        <v>38</v>
      </c>
    </row>
    <row r="78" spans="1:12" ht="48" customHeight="1" x14ac:dyDescent="0.2">
      <c r="A78" s="165">
        <v>76</v>
      </c>
      <c r="B78" s="11" t="s">
        <v>14</v>
      </c>
      <c r="C78" s="34" t="s">
        <v>296</v>
      </c>
      <c r="D78" s="20" t="s">
        <v>16</v>
      </c>
      <c r="E78" s="20" t="s">
        <v>339</v>
      </c>
      <c r="F78" s="162" t="s">
        <v>340</v>
      </c>
      <c r="G78" s="11" t="s">
        <v>2</v>
      </c>
      <c r="H78" s="173" t="s">
        <v>341</v>
      </c>
      <c r="I78" s="11" t="s">
        <v>342</v>
      </c>
      <c r="J78" s="224">
        <v>3</v>
      </c>
      <c r="K78" s="224"/>
      <c r="L78" s="79">
        <f>19+19+20</f>
        <v>58</v>
      </c>
    </row>
    <row r="79" spans="1:12" ht="48" customHeight="1" x14ac:dyDescent="0.2">
      <c r="A79" s="165">
        <v>77</v>
      </c>
      <c r="B79" s="11" t="s">
        <v>295</v>
      </c>
      <c r="C79" s="34" t="s">
        <v>296</v>
      </c>
      <c r="D79" s="20" t="s">
        <v>16</v>
      </c>
      <c r="E79" s="20" t="s">
        <v>343</v>
      </c>
      <c r="F79" s="162" t="s">
        <v>344</v>
      </c>
      <c r="G79" s="11" t="s">
        <v>2</v>
      </c>
      <c r="H79" s="173" t="s">
        <v>299</v>
      </c>
      <c r="I79" s="11" t="s">
        <v>300</v>
      </c>
      <c r="J79" s="224">
        <v>3</v>
      </c>
      <c r="K79" s="224"/>
      <c r="L79" s="79">
        <v>64</v>
      </c>
    </row>
    <row r="80" spans="1:12" ht="48" customHeight="1" x14ac:dyDescent="0.2">
      <c r="A80" s="165">
        <v>78</v>
      </c>
      <c r="B80" s="11" t="s">
        <v>295</v>
      </c>
      <c r="C80" s="34" t="s">
        <v>296</v>
      </c>
      <c r="D80" s="20" t="s">
        <v>16</v>
      </c>
      <c r="E80" s="20" t="s">
        <v>345</v>
      </c>
      <c r="F80" s="162" t="s">
        <v>45</v>
      </c>
      <c r="G80" s="11" t="s">
        <v>2</v>
      </c>
      <c r="H80" s="173" t="s">
        <v>299</v>
      </c>
      <c r="I80" s="11" t="s">
        <v>300</v>
      </c>
      <c r="J80" s="224">
        <v>3</v>
      </c>
      <c r="K80" s="224"/>
      <c r="L80" s="79">
        <v>60</v>
      </c>
    </row>
    <row r="81" spans="1:12" ht="48" customHeight="1" x14ac:dyDescent="0.2">
      <c r="A81" s="165">
        <v>79</v>
      </c>
      <c r="B81" s="11" t="s">
        <v>295</v>
      </c>
      <c r="C81" s="34" t="s">
        <v>296</v>
      </c>
      <c r="D81" s="20" t="s">
        <v>16</v>
      </c>
      <c r="E81" s="20" t="s">
        <v>346</v>
      </c>
      <c r="F81" s="162" t="s">
        <v>347</v>
      </c>
      <c r="G81" s="11" t="s">
        <v>2</v>
      </c>
      <c r="H81" s="173" t="s">
        <v>299</v>
      </c>
      <c r="I81" s="11" t="s">
        <v>300</v>
      </c>
      <c r="J81" s="224">
        <f>2+1+2</f>
        <v>5</v>
      </c>
      <c r="K81" s="224"/>
      <c r="L81" s="79">
        <f>42+22+36</f>
        <v>100</v>
      </c>
    </row>
    <row r="82" spans="1:12" ht="48" customHeight="1" x14ac:dyDescent="0.2">
      <c r="A82" s="165">
        <v>80</v>
      </c>
      <c r="B82" s="11" t="s">
        <v>295</v>
      </c>
      <c r="C82" s="34" t="s">
        <v>296</v>
      </c>
      <c r="D82" s="20" t="s">
        <v>16</v>
      </c>
      <c r="E82" s="20" t="s">
        <v>348</v>
      </c>
      <c r="F82" s="162" t="s">
        <v>349</v>
      </c>
      <c r="G82" s="11" t="s">
        <v>2</v>
      </c>
      <c r="H82" s="173" t="s">
        <v>299</v>
      </c>
      <c r="I82" s="11" t="s">
        <v>300</v>
      </c>
      <c r="J82" s="224">
        <v>4</v>
      </c>
      <c r="K82" s="224"/>
      <c r="L82" s="79">
        <v>67</v>
      </c>
    </row>
    <row r="83" spans="1:12" ht="48" customHeight="1" x14ac:dyDescent="0.2">
      <c r="A83" s="165">
        <v>81</v>
      </c>
      <c r="B83" s="11" t="s">
        <v>295</v>
      </c>
      <c r="C83" s="34" t="s">
        <v>296</v>
      </c>
      <c r="D83" s="20" t="s">
        <v>16</v>
      </c>
      <c r="E83" s="20" t="s">
        <v>350</v>
      </c>
      <c r="F83" s="162" t="s">
        <v>351</v>
      </c>
      <c r="G83" s="11" t="s">
        <v>2</v>
      </c>
      <c r="H83" s="173" t="s">
        <v>299</v>
      </c>
      <c r="I83" s="11" t="s">
        <v>300</v>
      </c>
      <c r="J83" s="224">
        <v>3</v>
      </c>
      <c r="K83" s="224"/>
      <c r="L83" s="79">
        <v>66</v>
      </c>
    </row>
    <row r="84" spans="1:12" ht="48" customHeight="1" x14ac:dyDescent="0.2">
      <c r="A84" s="165">
        <v>82</v>
      </c>
      <c r="B84" s="11" t="s">
        <v>295</v>
      </c>
      <c r="C84" s="34" t="s">
        <v>296</v>
      </c>
      <c r="D84" s="20" t="s">
        <v>16</v>
      </c>
      <c r="E84" s="20" t="s">
        <v>352</v>
      </c>
      <c r="F84" s="162" t="s">
        <v>353</v>
      </c>
      <c r="G84" s="11" t="s">
        <v>2</v>
      </c>
      <c r="H84" s="173" t="s">
        <v>299</v>
      </c>
      <c r="I84" s="11" t="s">
        <v>300</v>
      </c>
      <c r="J84" s="224">
        <v>3</v>
      </c>
      <c r="K84" s="224"/>
      <c r="L84" s="79">
        <v>60</v>
      </c>
    </row>
    <row r="85" spans="1:12" ht="48" customHeight="1" x14ac:dyDescent="0.2">
      <c r="A85" s="165">
        <v>83</v>
      </c>
      <c r="B85" s="11" t="s">
        <v>295</v>
      </c>
      <c r="C85" s="34" t="s">
        <v>296</v>
      </c>
      <c r="D85" s="20" t="s">
        <v>16</v>
      </c>
      <c r="E85" s="20" t="s">
        <v>354</v>
      </c>
      <c r="F85" s="162" t="s">
        <v>355</v>
      </c>
      <c r="G85" s="11" t="s">
        <v>2</v>
      </c>
      <c r="H85" s="173" t="s">
        <v>299</v>
      </c>
      <c r="I85" s="11" t="s">
        <v>300</v>
      </c>
      <c r="J85" s="224">
        <v>5</v>
      </c>
      <c r="K85" s="224"/>
      <c r="L85" s="79">
        <v>112</v>
      </c>
    </row>
    <row r="86" spans="1:12" ht="48" customHeight="1" x14ac:dyDescent="0.2">
      <c r="A86" s="165">
        <v>84</v>
      </c>
      <c r="B86" s="11" t="s">
        <v>14</v>
      </c>
      <c r="C86" s="34" t="s">
        <v>296</v>
      </c>
      <c r="D86" s="20" t="s">
        <v>16</v>
      </c>
      <c r="E86" s="20" t="s">
        <v>356</v>
      </c>
      <c r="F86" s="162" t="s">
        <v>357</v>
      </c>
      <c r="G86" s="11" t="s">
        <v>2</v>
      </c>
      <c r="H86" s="173" t="s">
        <v>358</v>
      </c>
      <c r="I86" s="11" t="s">
        <v>359</v>
      </c>
      <c r="J86" s="224">
        <v>1</v>
      </c>
      <c r="K86" s="224"/>
      <c r="L86" s="79">
        <v>27</v>
      </c>
    </row>
    <row r="87" spans="1:12" ht="48" customHeight="1" x14ac:dyDescent="0.2">
      <c r="A87" s="165">
        <v>85</v>
      </c>
      <c r="B87" s="11" t="s">
        <v>14</v>
      </c>
      <c r="C87" s="34" t="s">
        <v>296</v>
      </c>
      <c r="D87" s="20" t="s">
        <v>16</v>
      </c>
      <c r="E87" s="20" t="s">
        <v>360</v>
      </c>
      <c r="F87" s="162" t="s">
        <v>237</v>
      </c>
      <c r="G87" s="11" t="s">
        <v>2</v>
      </c>
      <c r="H87" s="173" t="s">
        <v>361</v>
      </c>
      <c r="I87" s="11" t="s">
        <v>362</v>
      </c>
      <c r="J87" s="224">
        <v>2</v>
      </c>
      <c r="K87" s="224"/>
      <c r="L87" s="79">
        <f>19+18</f>
        <v>37</v>
      </c>
    </row>
    <row r="88" spans="1:12" ht="48" customHeight="1" x14ac:dyDescent="0.2">
      <c r="A88" s="165">
        <v>86</v>
      </c>
      <c r="B88" s="11" t="s">
        <v>295</v>
      </c>
      <c r="C88" s="34" t="s">
        <v>296</v>
      </c>
      <c r="D88" s="20" t="s">
        <v>16</v>
      </c>
      <c r="E88" s="20" t="s">
        <v>363</v>
      </c>
      <c r="F88" s="162" t="s">
        <v>364</v>
      </c>
      <c r="G88" s="11" t="s">
        <v>2</v>
      </c>
      <c r="H88" s="173" t="s">
        <v>299</v>
      </c>
      <c r="I88" s="11" t="s">
        <v>300</v>
      </c>
      <c r="J88" s="79">
        <v>3</v>
      </c>
      <c r="K88" s="79"/>
      <c r="L88" s="79">
        <v>66</v>
      </c>
    </row>
    <row r="89" spans="1:12" ht="48" customHeight="1" x14ac:dyDescent="0.2">
      <c r="A89" s="165">
        <v>87</v>
      </c>
      <c r="B89" s="11" t="s">
        <v>295</v>
      </c>
      <c r="C89" s="34" t="s">
        <v>296</v>
      </c>
      <c r="D89" s="20" t="s">
        <v>16</v>
      </c>
      <c r="E89" s="20" t="s">
        <v>365</v>
      </c>
      <c r="F89" s="162" t="s">
        <v>366</v>
      </c>
      <c r="G89" s="11" t="s">
        <v>2</v>
      </c>
      <c r="H89" s="173" t="s">
        <v>299</v>
      </c>
      <c r="I89" s="11" t="s">
        <v>300</v>
      </c>
      <c r="J89" s="79">
        <v>4</v>
      </c>
      <c r="K89" s="79"/>
      <c r="L89" s="79">
        <v>82</v>
      </c>
    </row>
    <row r="90" spans="1:12" ht="48" customHeight="1" x14ac:dyDescent="0.2">
      <c r="A90" s="165">
        <v>88</v>
      </c>
      <c r="B90" s="11" t="s">
        <v>295</v>
      </c>
      <c r="C90" s="34" t="s">
        <v>296</v>
      </c>
      <c r="D90" s="20" t="s">
        <v>16</v>
      </c>
      <c r="E90" s="20" t="s">
        <v>367</v>
      </c>
      <c r="F90" s="162" t="s">
        <v>368</v>
      </c>
      <c r="G90" s="11" t="s">
        <v>2</v>
      </c>
      <c r="H90" s="173" t="s">
        <v>299</v>
      </c>
      <c r="I90" s="11" t="s">
        <v>300</v>
      </c>
      <c r="J90" s="79">
        <v>4</v>
      </c>
      <c r="K90" s="79"/>
      <c r="L90" s="79">
        <v>83</v>
      </c>
    </row>
    <row r="91" spans="1:12" ht="48" customHeight="1" x14ac:dyDescent="0.2">
      <c r="A91" s="165">
        <v>89</v>
      </c>
      <c r="B91" s="11" t="s">
        <v>14</v>
      </c>
      <c r="C91" s="34" t="s">
        <v>296</v>
      </c>
      <c r="D91" s="20" t="s">
        <v>16</v>
      </c>
      <c r="E91" s="20" t="s">
        <v>369</v>
      </c>
      <c r="F91" s="162" t="s">
        <v>93</v>
      </c>
      <c r="G91" s="11" t="s">
        <v>2</v>
      </c>
      <c r="H91" s="173" t="s">
        <v>370</v>
      </c>
      <c r="I91" s="11" t="s">
        <v>371</v>
      </c>
      <c r="J91" s="79">
        <v>2</v>
      </c>
      <c r="K91" s="79"/>
      <c r="L91" s="79">
        <f>25+25</f>
        <v>50</v>
      </c>
    </row>
    <row r="92" spans="1:12" ht="48" customHeight="1" x14ac:dyDescent="0.2">
      <c r="A92" s="165">
        <v>90</v>
      </c>
      <c r="B92" s="11" t="s">
        <v>295</v>
      </c>
      <c r="C92" s="34" t="s">
        <v>296</v>
      </c>
      <c r="D92" s="20" t="s">
        <v>16</v>
      </c>
      <c r="E92" s="20" t="s">
        <v>372</v>
      </c>
      <c r="F92" s="162" t="s">
        <v>373</v>
      </c>
      <c r="G92" s="11" t="s">
        <v>2</v>
      </c>
      <c r="H92" s="173" t="s">
        <v>299</v>
      </c>
      <c r="I92" s="11" t="s">
        <v>300</v>
      </c>
      <c r="J92" s="79">
        <v>5</v>
      </c>
      <c r="K92" s="79"/>
      <c r="L92" s="79">
        <v>100</v>
      </c>
    </row>
    <row r="93" spans="1:12" ht="48" customHeight="1" x14ac:dyDescent="0.2">
      <c r="A93" s="165">
        <v>91</v>
      </c>
      <c r="B93" s="11" t="s">
        <v>295</v>
      </c>
      <c r="C93" s="34" t="s">
        <v>296</v>
      </c>
      <c r="D93" s="20" t="s">
        <v>16</v>
      </c>
      <c r="E93" s="20" t="s">
        <v>374</v>
      </c>
      <c r="F93" s="162" t="s">
        <v>375</v>
      </c>
      <c r="G93" s="11" t="s">
        <v>2</v>
      </c>
      <c r="H93" s="173" t="s">
        <v>299</v>
      </c>
      <c r="I93" s="11" t="s">
        <v>300</v>
      </c>
      <c r="J93" s="79">
        <v>3</v>
      </c>
      <c r="K93" s="79"/>
      <c r="L93" s="79">
        <v>62</v>
      </c>
    </row>
    <row r="94" spans="1:12" ht="48" customHeight="1" x14ac:dyDescent="0.2">
      <c r="A94" s="165">
        <v>92</v>
      </c>
      <c r="B94" s="11" t="s">
        <v>295</v>
      </c>
      <c r="C94" s="34" t="s">
        <v>296</v>
      </c>
      <c r="D94" s="20" t="s">
        <v>16</v>
      </c>
      <c r="E94" s="20" t="s">
        <v>376</v>
      </c>
      <c r="F94" s="162" t="s">
        <v>377</v>
      </c>
      <c r="G94" s="11" t="s">
        <v>2</v>
      </c>
      <c r="H94" s="173" t="s">
        <v>299</v>
      </c>
      <c r="I94" s="11" t="s">
        <v>300</v>
      </c>
      <c r="J94" s="79">
        <v>6</v>
      </c>
      <c r="K94" s="79"/>
      <c r="L94" s="79">
        <v>132</v>
      </c>
    </row>
    <row r="95" spans="1:12" ht="48" customHeight="1" x14ac:dyDescent="0.2">
      <c r="A95" s="165">
        <v>93</v>
      </c>
      <c r="B95" s="11" t="s">
        <v>295</v>
      </c>
      <c r="C95" s="34" t="s">
        <v>296</v>
      </c>
      <c r="D95" s="20" t="s">
        <v>16</v>
      </c>
      <c r="E95" s="20" t="s">
        <v>378</v>
      </c>
      <c r="F95" s="162" t="s">
        <v>379</v>
      </c>
      <c r="G95" s="11" t="s">
        <v>2</v>
      </c>
      <c r="H95" s="173" t="s">
        <v>299</v>
      </c>
      <c r="I95" s="11" t="s">
        <v>300</v>
      </c>
      <c r="J95" s="79">
        <v>3</v>
      </c>
      <c r="K95" s="79"/>
      <c r="L95" s="79">
        <v>66</v>
      </c>
    </row>
    <row r="96" spans="1:12" ht="48" customHeight="1" x14ac:dyDescent="0.2">
      <c r="A96" s="165">
        <v>94</v>
      </c>
      <c r="B96" s="11" t="s">
        <v>295</v>
      </c>
      <c r="C96" s="34" t="s">
        <v>296</v>
      </c>
      <c r="D96" s="20" t="s">
        <v>16</v>
      </c>
      <c r="E96" s="20" t="s">
        <v>380</v>
      </c>
      <c r="F96" s="162" t="s">
        <v>381</v>
      </c>
      <c r="G96" s="11" t="s">
        <v>2</v>
      </c>
      <c r="H96" s="173" t="s">
        <v>299</v>
      </c>
      <c r="I96" s="11" t="s">
        <v>300</v>
      </c>
      <c r="J96" s="79">
        <v>3</v>
      </c>
      <c r="K96" s="79"/>
      <c r="L96" s="79">
        <v>67</v>
      </c>
    </row>
    <row r="97" spans="1:12" ht="48" customHeight="1" x14ac:dyDescent="0.2">
      <c r="A97" s="165">
        <v>95</v>
      </c>
      <c r="B97" s="11" t="s">
        <v>295</v>
      </c>
      <c r="C97" s="34" t="s">
        <v>296</v>
      </c>
      <c r="D97" s="20" t="s">
        <v>16</v>
      </c>
      <c r="E97" s="20" t="s">
        <v>382</v>
      </c>
      <c r="F97" s="162" t="s">
        <v>383</v>
      </c>
      <c r="G97" s="11" t="s">
        <v>2</v>
      </c>
      <c r="H97" s="173" t="s">
        <v>299</v>
      </c>
      <c r="I97" s="11" t="s">
        <v>300</v>
      </c>
      <c r="J97" s="79">
        <v>4</v>
      </c>
      <c r="K97" s="79"/>
      <c r="L97" s="79">
        <v>68</v>
      </c>
    </row>
    <row r="98" spans="1:12" ht="48" customHeight="1" x14ac:dyDescent="0.2">
      <c r="A98" s="165">
        <v>96</v>
      </c>
      <c r="B98" s="11" t="s">
        <v>295</v>
      </c>
      <c r="C98" s="34" t="s">
        <v>296</v>
      </c>
      <c r="D98" s="20" t="s">
        <v>16</v>
      </c>
      <c r="E98" s="20" t="s">
        <v>384</v>
      </c>
      <c r="F98" s="162" t="s">
        <v>385</v>
      </c>
      <c r="G98" s="11" t="s">
        <v>2</v>
      </c>
      <c r="H98" s="173" t="s">
        <v>299</v>
      </c>
      <c r="I98" s="11" t="s">
        <v>300</v>
      </c>
      <c r="J98" s="79">
        <v>4</v>
      </c>
      <c r="K98" s="79"/>
      <c r="L98" s="79">
        <v>85</v>
      </c>
    </row>
    <row r="99" spans="1:12" ht="48" customHeight="1" x14ac:dyDescent="0.2">
      <c r="A99" s="165">
        <v>97</v>
      </c>
      <c r="B99" s="11" t="s">
        <v>295</v>
      </c>
      <c r="C99" s="34" t="s">
        <v>296</v>
      </c>
      <c r="D99" s="20" t="s">
        <v>16</v>
      </c>
      <c r="E99" s="20" t="s">
        <v>386</v>
      </c>
      <c r="F99" s="162" t="s">
        <v>387</v>
      </c>
      <c r="G99" s="11" t="s">
        <v>2</v>
      </c>
      <c r="H99" s="173" t="s">
        <v>299</v>
      </c>
      <c r="I99" s="11" t="s">
        <v>300</v>
      </c>
      <c r="J99" s="79">
        <v>3</v>
      </c>
      <c r="K99" s="79"/>
      <c r="L99" s="79">
        <v>60</v>
      </c>
    </row>
    <row r="100" spans="1:12" ht="48" customHeight="1" x14ac:dyDescent="0.2">
      <c r="A100" s="165">
        <v>98</v>
      </c>
      <c r="B100" s="11" t="s">
        <v>295</v>
      </c>
      <c r="C100" s="34" t="s">
        <v>296</v>
      </c>
      <c r="D100" s="20" t="s">
        <v>16</v>
      </c>
      <c r="E100" s="20" t="s">
        <v>388</v>
      </c>
      <c r="F100" s="162" t="s">
        <v>389</v>
      </c>
      <c r="G100" s="11" t="s">
        <v>2</v>
      </c>
      <c r="H100" s="173" t="s">
        <v>299</v>
      </c>
      <c r="I100" s="11" t="s">
        <v>300</v>
      </c>
      <c r="J100" s="79">
        <v>4</v>
      </c>
      <c r="K100" s="79"/>
      <c r="L100" s="79">
        <v>85</v>
      </c>
    </row>
    <row r="101" spans="1:12" ht="48" customHeight="1" x14ac:dyDescent="0.2">
      <c r="A101" s="165">
        <v>99</v>
      </c>
      <c r="B101" s="11" t="s">
        <v>295</v>
      </c>
      <c r="C101" s="34" t="s">
        <v>296</v>
      </c>
      <c r="D101" s="20" t="s">
        <v>16</v>
      </c>
      <c r="E101" s="20" t="s">
        <v>390</v>
      </c>
      <c r="F101" s="162" t="s">
        <v>391</v>
      </c>
      <c r="G101" s="11" t="s">
        <v>2</v>
      </c>
      <c r="H101" s="173" t="s">
        <v>299</v>
      </c>
      <c r="I101" s="11" t="s">
        <v>300</v>
      </c>
      <c r="J101" s="79">
        <v>2</v>
      </c>
      <c r="K101" s="79"/>
      <c r="L101" s="79">
        <v>42</v>
      </c>
    </row>
    <row r="102" spans="1:12" ht="48" customHeight="1" x14ac:dyDescent="0.2">
      <c r="A102" s="165">
        <v>100</v>
      </c>
      <c r="B102" s="11" t="s">
        <v>14</v>
      </c>
      <c r="C102" s="34" t="s">
        <v>296</v>
      </c>
      <c r="D102" s="20" t="s">
        <v>16</v>
      </c>
      <c r="E102" s="20" t="s">
        <v>392</v>
      </c>
      <c r="F102" s="162" t="s">
        <v>393</v>
      </c>
      <c r="G102" s="11" t="s">
        <v>394</v>
      </c>
      <c r="H102" s="173" t="s">
        <v>395</v>
      </c>
      <c r="I102" s="11" t="s">
        <v>396</v>
      </c>
      <c r="J102" s="79">
        <v>2</v>
      </c>
      <c r="K102" s="79"/>
      <c r="L102" s="79">
        <f>21+24</f>
        <v>45</v>
      </c>
    </row>
    <row r="103" spans="1:12" ht="48" customHeight="1" x14ac:dyDescent="0.2">
      <c r="A103" s="165">
        <v>101</v>
      </c>
      <c r="B103" s="11" t="s">
        <v>295</v>
      </c>
      <c r="C103" s="34" t="s">
        <v>296</v>
      </c>
      <c r="D103" s="20" t="s">
        <v>16</v>
      </c>
      <c r="E103" s="20" t="s">
        <v>397</v>
      </c>
      <c r="F103" s="162" t="s">
        <v>398</v>
      </c>
      <c r="G103" s="11" t="s">
        <v>2</v>
      </c>
      <c r="H103" s="173" t="s">
        <v>299</v>
      </c>
      <c r="I103" s="11" t="s">
        <v>300</v>
      </c>
      <c r="J103" s="79">
        <v>2</v>
      </c>
      <c r="K103" s="79"/>
      <c r="L103" s="79">
        <v>42</v>
      </c>
    </row>
    <row r="104" spans="1:12" ht="48" customHeight="1" thickBot="1" x14ac:dyDescent="0.25">
      <c r="A104" s="165">
        <v>102</v>
      </c>
      <c r="B104" s="12" t="s">
        <v>399</v>
      </c>
      <c r="C104" s="26" t="s">
        <v>296</v>
      </c>
      <c r="D104" s="26" t="s">
        <v>16</v>
      </c>
      <c r="E104" s="26" t="s">
        <v>400</v>
      </c>
      <c r="F104" s="168" t="s">
        <v>401</v>
      </c>
      <c r="G104" s="12" t="s">
        <v>402</v>
      </c>
      <c r="H104" s="169" t="s">
        <v>403</v>
      </c>
      <c r="I104" s="12" t="s">
        <v>404</v>
      </c>
      <c r="J104" s="163">
        <v>1</v>
      </c>
      <c r="K104" s="163"/>
      <c r="L104" s="163">
        <v>15</v>
      </c>
    </row>
    <row r="105" spans="1:12" ht="48" customHeight="1" x14ac:dyDescent="0.2">
      <c r="A105" s="165">
        <v>103</v>
      </c>
      <c r="B105" s="13" t="s">
        <v>14</v>
      </c>
      <c r="C105" s="34" t="s">
        <v>405</v>
      </c>
      <c r="D105" s="34" t="s">
        <v>16</v>
      </c>
      <c r="E105" s="34" t="s">
        <v>406</v>
      </c>
      <c r="F105" s="166" t="s">
        <v>407</v>
      </c>
      <c r="G105" s="13" t="s">
        <v>3</v>
      </c>
      <c r="H105" s="172" t="s">
        <v>408</v>
      </c>
      <c r="I105" s="13" t="s">
        <v>409</v>
      </c>
      <c r="J105" s="224">
        <v>2</v>
      </c>
      <c r="K105" s="224"/>
      <c r="L105" s="224">
        <f>26+27</f>
        <v>53</v>
      </c>
    </row>
    <row r="106" spans="1:12" ht="48" customHeight="1" x14ac:dyDescent="0.2">
      <c r="A106" s="165">
        <v>104</v>
      </c>
      <c r="B106" s="11" t="s">
        <v>14</v>
      </c>
      <c r="C106" s="34" t="s">
        <v>405</v>
      </c>
      <c r="D106" s="20" t="s">
        <v>16</v>
      </c>
      <c r="E106" s="20" t="s">
        <v>410</v>
      </c>
      <c r="F106" s="162" t="s">
        <v>411</v>
      </c>
      <c r="G106" s="11" t="s">
        <v>412</v>
      </c>
      <c r="H106" s="173" t="s">
        <v>413</v>
      </c>
      <c r="I106" s="11" t="s">
        <v>414</v>
      </c>
      <c r="J106" s="224">
        <v>3</v>
      </c>
      <c r="K106" s="224"/>
      <c r="L106" s="79">
        <f>23+22+16</f>
        <v>61</v>
      </c>
    </row>
    <row r="107" spans="1:12" ht="48" customHeight="1" x14ac:dyDescent="0.2">
      <c r="A107" s="165">
        <v>105</v>
      </c>
      <c r="B107" s="11" t="s">
        <v>14</v>
      </c>
      <c r="C107" s="34" t="s">
        <v>405</v>
      </c>
      <c r="D107" s="20" t="s">
        <v>16</v>
      </c>
      <c r="E107" s="20" t="s">
        <v>415</v>
      </c>
      <c r="F107" s="162" t="s">
        <v>416</v>
      </c>
      <c r="G107" s="11" t="s">
        <v>417</v>
      </c>
      <c r="H107" s="173" t="s">
        <v>323</v>
      </c>
      <c r="I107" s="11" t="s">
        <v>324</v>
      </c>
      <c r="J107" s="224">
        <v>2</v>
      </c>
      <c r="K107" s="224"/>
      <c r="L107" s="79">
        <f>16+15</f>
        <v>31</v>
      </c>
    </row>
    <row r="108" spans="1:12" ht="48" customHeight="1" x14ac:dyDescent="0.2">
      <c r="A108" s="165">
        <v>106</v>
      </c>
      <c r="B108" s="11" t="s">
        <v>14</v>
      </c>
      <c r="C108" s="34" t="s">
        <v>405</v>
      </c>
      <c r="D108" s="20" t="s">
        <v>16</v>
      </c>
      <c r="E108" s="20" t="s">
        <v>418</v>
      </c>
      <c r="F108" s="162" t="s">
        <v>419</v>
      </c>
      <c r="G108" s="11" t="s">
        <v>420</v>
      </c>
      <c r="H108" s="173" t="s">
        <v>323</v>
      </c>
      <c r="I108" s="11" t="s">
        <v>324</v>
      </c>
      <c r="J108" s="224">
        <v>1</v>
      </c>
      <c r="K108" s="224"/>
      <c r="L108" s="79">
        <v>16</v>
      </c>
    </row>
    <row r="109" spans="1:12" ht="48" customHeight="1" x14ac:dyDescent="0.2">
      <c r="A109" s="165">
        <v>107</v>
      </c>
      <c r="B109" s="11" t="s">
        <v>14</v>
      </c>
      <c r="C109" s="34" t="s">
        <v>405</v>
      </c>
      <c r="D109" s="20" t="s">
        <v>16</v>
      </c>
      <c r="E109" s="20" t="s">
        <v>421</v>
      </c>
      <c r="F109" s="162" t="s">
        <v>422</v>
      </c>
      <c r="G109" s="11" t="s">
        <v>423</v>
      </c>
      <c r="H109" s="173">
        <v>84001430309</v>
      </c>
      <c r="I109" s="11" t="s">
        <v>424</v>
      </c>
      <c r="J109" s="224">
        <v>2</v>
      </c>
      <c r="K109" s="224"/>
      <c r="L109" s="79">
        <f>17+16</f>
        <v>33</v>
      </c>
    </row>
    <row r="110" spans="1:12" ht="48" customHeight="1" x14ac:dyDescent="0.2">
      <c r="A110" s="165">
        <v>108</v>
      </c>
      <c r="B110" s="11" t="s">
        <v>14</v>
      </c>
      <c r="C110" s="34" t="s">
        <v>405</v>
      </c>
      <c r="D110" s="20" t="s">
        <v>16</v>
      </c>
      <c r="E110" s="20" t="s">
        <v>425</v>
      </c>
      <c r="F110" s="162" t="s">
        <v>50</v>
      </c>
      <c r="G110" s="11" t="s">
        <v>426</v>
      </c>
      <c r="H110" s="173" t="s">
        <v>427</v>
      </c>
      <c r="I110" s="11" t="s">
        <v>118</v>
      </c>
      <c r="J110" s="224">
        <v>3</v>
      </c>
      <c r="K110" s="224"/>
      <c r="L110" s="79">
        <f>22+21+25</f>
        <v>68</v>
      </c>
    </row>
    <row r="111" spans="1:12" ht="48" customHeight="1" x14ac:dyDescent="0.2">
      <c r="A111" s="165">
        <v>109</v>
      </c>
      <c r="B111" s="11" t="s">
        <v>14</v>
      </c>
      <c r="C111" s="34" t="s">
        <v>405</v>
      </c>
      <c r="D111" s="20" t="s">
        <v>16</v>
      </c>
      <c r="E111" s="20" t="s">
        <v>428</v>
      </c>
      <c r="F111" s="208" t="s">
        <v>102</v>
      </c>
      <c r="G111" s="69" t="s">
        <v>429</v>
      </c>
      <c r="H111" s="210">
        <v>80000770307</v>
      </c>
      <c r="I111" s="69" t="s">
        <v>430</v>
      </c>
      <c r="J111" s="224">
        <v>2</v>
      </c>
      <c r="K111" s="224"/>
      <c r="L111" s="79">
        <f>22+16</f>
        <v>38</v>
      </c>
    </row>
    <row r="112" spans="1:12" ht="48" customHeight="1" x14ac:dyDescent="0.2">
      <c r="A112" s="165">
        <v>110</v>
      </c>
      <c r="B112" s="11" t="s">
        <v>14</v>
      </c>
      <c r="C112" s="34" t="s">
        <v>405</v>
      </c>
      <c r="D112" s="20" t="s">
        <v>16</v>
      </c>
      <c r="E112" s="20" t="s">
        <v>431</v>
      </c>
      <c r="F112" s="162" t="s">
        <v>102</v>
      </c>
      <c r="G112" s="11" t="s">
        <v>432</v>
      </c>
      <c r="H112" s="173" t="s">
        <v>433</v>
      </c>
      <c r="I112" s="11" t="s">
        <v>96</v>
      </c>
      <c r="J112" s="224">
        <v>5</v>
      </c>
      <c r="K112" s="224"/>
      <c r="L112" s="79">
        <f>20+18+18+22+22</f>
        <v>100</v>
      </c>
    </row>
    <row r="113" spans="1:12" ht="48" customHeight="1" x14ac:dyDescent="0.2">
      <c r="A113" s="165">
        <v>111</v>
      </c>
      <c r="B113" s="11" t="s">
        <v>14</v>
      </c>
      <c r="C113" s="34" t="s">
        <v>405</v>
      </c>
      <c r="D113" s="20" t="s">
        <v>16</v>
      </c>
      <c r="E113" s="20" t="s">
        <v>434</v>
      </c>
      <c r="F113" s="162" t="s">
        <v>435</v>
      </c>
      <c r="G113" s="11" t="s">
        <v>436</v>
      </c>
      <c r="H113" s="173" t="s">
        <v>437</v>
      </c>
      <c r="I113" s="11" t="s">
        <v>438</v>
      </c>
      <c r="J113" s="224">
        <v>1</v>
      </c>
      <c r="K113" s="224"/>
      <c r="L113" s="79">
        <v>29</v>
      </c>
    </row>
    <row r="114" spans="1:12" ht="48" customHeight="1" x14ac:dyDescent="0.2">
      <c r="A114" s="165">
        <v>112</v>
      </c>
      <c r="B114" s="11" t="s">
        <v>14</v>
      </c>
      <c r="C114" s="34" t="s">
        <v>405</v>
      </c>
      <c r="D114" s="20" t="s">
        <v>16</v>
      </c>
      <c r="E114" s="20" t="s">
        <v>439</v>
      </c>
      <c r="F114" s="162" t="s">
        <v>440</v>
      </c>
      <c r="G114" s="11" t="s">
        <v>441</v>
      </c>
      <c r="H114" s="173" t="s">
        <v>442</v>
      </c>
      <c r="I114" s="11" t="s">
        <v>443</v>
      </c>
      <c r="J114" s="224">
        <v>1</v>
      </c>
      <c r="K114" s="224"/>
      <c r="L114" s="79">
        <v>20</v>
      </c>
    </row>
    <row r="115" spans="1:12" ht="48" customHeight="1" x14ac:dyDescent="0.2">
      <c r="A115" s="165">
        <v>113</v>
      </c>
      <c r="B115" s="11" t="s">
        <v>14</v>
      </c>
      <c r="C115" s="34" t="s">
        <v>405</v>
      </c>
      <c r="D115" s="20" t="s">
        <v>16</v>
      </c>
      <c r="E115" s="20" t="s">
        <v>444</v>
      </c>
      <c r="F115" s="162" t="s">
        <v>445</v>
      </c>
      <c r="G115" s="11" t="s">
        <v>446</v>
      </c>
      <c r="H115" s="173">
        <v>80003950302</v>
      </c>
      <c r="I115" s="11" t="s">
        <v>275</v>
      </c>
      <c r="J115" s="224">
        <v>3</v>
      </c>
      <c r="K115" s="224"/>
      <c r="L115" s="79">
        <f>21+21+17</f>
        <v>59</v>
      </c>
    </row>
    <row r="116" spans="1:12" ht="48" customHeight="1" x14ac:dyDescent="0.2">
      <c r="A116" s="165">
        <v>114</v>
      </c>
      <c r="B116" s="11" t="s">
        <v>14</v>
      </c>
      <c r="C116" s="34" t="s">
        <v>405</v>
      </c>
      <c r="D116" s="20" t="s">
        <v>16</v>
      </c>
      <c r="E116" s="20" t="s">
        <v>447</v>
      </c>
      <c r="F116" s="162" t="s">
        <v>419</v>
      </c>
      <c r="G116" s="11" t="s">
        <v>3</v>
      </c>
      <c r="H116" s="173" t="s">
        <v>323</v>
      </c>
      <c r="I116" s="11" t="s">
        <v>324</v>
      </c>
      <c r="J116" s="224">
        <v>3</v>
      </c>
      <c r="K116" s="224"/>
      <c r="L116" s="79">
        <f>15+20+15</f>
        <v>50</v>
      </c>
    </row>
    <row r="117" spans="1:12" ht="48" customHeight="1" x14ac:dyDescent="0.2">
      <c r="A117" s="165">
        <v>115</v>
      </c>
      <c r="B117" s="11" t="s">
        <v>14</v>
      </c>
      <c r="C117" s="34" t="s">
        <v>405</v>
      </c>
      <c r="D117" s="20" t="s">
        <v>16</v>
      </c>
      <c r="E117" s="20" t="s">
        <v>448</v>
      </c>
      <c r="F117" s="162" t="s">
        <v>449</v>
      </c>
      <c r="G117" s="11" t="s">
        <v>3</v>
      </c>
      <c r="H117" s="173" t="s">
        <v>450</v>
      </c>
      <c r="I117" s="11" t="s">
        <v>451</v>
      </c>
      <c r="J117" s="224">
        <v>3</v>
      </c>
      <c r="K117" s="224"/>
      <c r="L117" s="79">
        <f>22+25+23</f>
        <v>70</v>
      </c>
    </row>
    <row r="118" spans="1:12" ht="48" customHeight="1" x14ac:dyDescent="0.2">
      <c r="A118" s="165">
        <v>116</v>
      </c>
      <c r="B118" s="11" t="s">
        <v>14</v>
      </c>
      <c r="C118" s="34" t="s">
        <v>405</v>
      </c>
      <c r="D118" s="20" t="s">
        <v>16</v>
      </c>
      <c r="E118" s="20" t="s">
        <v>452</v>
      </c>
      <c r="F118" s="162" t="s">
        <v>453</v>
      </c>
      <c r="G118" s="11" t="s">
        <v>3</v>
      </c>
      <c r="H118" s="173" t="s">
        <v>454</v>
      </c>
      <c r="I118" s="11" t="s">
        <v>455</v>
      </c>
      <c r="J118" s="224">
        <v>4</v>
      </c>
      <c r="K118" s="224"/>
      <c r="L118" s="79">
        <f>22+18+21+21</f>
        <v>82</v>
      </c>
    </row>
    <row r="119" spans="1:12" ht="48" customHeight="1" x14ac:dyDescent="0.2">
      <c r="A119" s="165">
        <v>117</v>
      </c>
      <c r="B119" s="11" t="s">
        <v>14</v>
      </c>
      <c r="C119" s="34" t="s">
        <v>405</v>
      </c>
      <c r="D119" s="20" t="s">
        <v>16</v>
      </c>
      <c r="E119" s="20" t="s">
        <v>456</v>
      </c>
      <c r="F119" s="162" t="s">
        <v>457</v>
      </c>
      <c r="G119" s="11" t="s">
        <v>458</v>
      </c>
      <c r="H119" s="173" t="s">
        <v>459</v>
      </c>
      <c r="I119" s="11" t="s">
        <v>460</v>
      </c>
      <c r="J119" s="224">
        <v>4</v>
      </c>
      <c r="K119" s="224"/>
      <c r="L119" s="79">
        <f>21+22+22+21</f>
        <v>86</v>
      </c>
    </row>
    <row r="120" spans="1:12" ht="48" customHeight="1" x14ac:dyDescent="0.2">
      <c r="A120" s="165">
        <v>118</v>
      </c>
      <c r="B120" s="11" t="s">
        <v>14</v>
      </c>
      <c r="C120" s="34" t="s">
        <v>405</v>
      </c>
      <c r="D120" s="20" t="s">
        <v>16</v>
      </c>
      <c r="E120" s="20" t="s">
        <v>461</v>
      </c>
      <c r="F120" s="162" t="s">
        <v>462</v>
      </c>
      <c r="G120" s="11" t="s">
        <v>463</v>
      </c>
      <c r="H120" s="173">
        <v>80000770307</v>
      </c>
      <c r="I120" s="69" t="s">
        <v>430</v>
      </c>
      <c r="J120" s="224">
        <v>2</v>
      </c>
      <c r="K120" s="224"/>
      <c r="L120" s="79">
        <f>25+28</f>
        <v>53</v>
      </c>
    </row>
    <row r="121" spans="1:12" ht="48" customHeight="1" x14ac:dyDescent="0.2">
      <c r="A121" s="165">
        <v>119</v>
      </c>
      <c r="B121" s="11" t="s">
        <v>14</v>
      </c>
      <c r="C121" s="34" t="s">
        <v>405</v>
      </c>
      <c r="D121" s="20" t="s">
        <v>16</v>
      </c>
      <c r="E121" s="20" t="s">
        <v>464</v>
      </c>
      <c r="F121" s="162" t="s">
        <v>465</v>
      </c>
      <c r="G121" s="11" t="s">
        <v>466</v>
      </c>
      <c r="H121" s="173" t="s">
        <v>467</v>
      </c>
      <c r="I121" s="11" t="s">
        <v>468</v>
      </c>
      <c r="J121" s="224">
        <v>1</v>
      </c>
      <c r="K121" s="224"/>
      <c r="L121" s="79">
        <v>26</v>
      </c>
    </row>
    <row r="122" spans="1:12" ht="48" customHeight="1" x14ac:dyDescent="0.2">
      <c r="A122" s="165">
        <v>120</v>
      </c>
      <c r="B122" s="11" t="s">
        <v>14</v>
      </c>
      <c r="C122" s="34" t="s">
        <v>405</v>
      </c>
      <c r="D122" s="20" t="s">
        <v>16</v>
      </c>
      <c r="E122" s="20" t="s">
        <v>469</v>
      </c>
      <c r="F122" s="162" t="s">
        <v>470</v>
      </c>
      <c r="G122" s="11" t="s">
        <v>471</v>
      </c>
      <c r="H122" s="173" t="s">
        <v>472</v>
      </c>
      <c r="I122" s="11" t="s">
        <v>473</v>
      </c>
      <c r="J122" s="224">
        <v>1</v>
      </c>
      <c r="K122" s="224"/>
      <c r="L122" s="79">
        <v>22</v>
      </c>
    </row>
    <row r="123" spans="1:12" ht="48" customHeight="1" x14ac:dyDescent="0.2">
      <c r="A123" s="165">
        <v>121</v>
      </c>
      <c r="B123" s="11" t="s">
        <v>14</v>
      </c>
      <c r="C123" s="34" t="s">
        <v>405</v>
      </c>
      <c r="D123" s="20" t="s">
        <v>16</v>
      </c>
      <c r="E123" s="20" t="s">
        <v>474</v>
      </c>
      <c r="F123" s="162" t="s">
        <v>475</v>
      </c>
      <c r="G123" s="11" t="s">
        <v>476</v>
      </c>
      <c r="H123" s="173" t="s">
        <v>477</v>
      </c>
      <c r="I123" s="11" t="s">
        <v>478</v>
      </c>
      <c r="J123" s="224">
        <v>3</v>
      </c>
      <c r="K123" s="224"/>
      <c r="L123" s="79">
        <f>17+19+18</f>
        <v>54</v>
      </c>
    </row>
    <row r="124" spans="1:12" ht="48" customHeight="1" x14ac:dyDescent="0.2">
      <c r="A124" s="165">
        <v>122</v>
      </c>
      <c r="B124" s="11" t="s">
        <v>14</v>
      </c>
      <c r="C124" s="34" t="s">
        <v>405</v>
      </c>
      <c r="D124" s="20" t="s">
        <v>16</v>
      </c>
      <c r="E124" s="20" t="s">
        <v>479</v>
      </c>
      <c r="F124" s="162" t="s">
        <v>480</v>
      </c>
      <c r="G124" s="11" t="s">
        <v>481</v>
      </c>
      <c r="H124" s="173" t="s">
        <v>482</v>
      </c>
      <c r="I124" s="11" t="s">
        <v>483</v>
      </c>
      <c r="J124" s="224">
        <v>1</v>
      </c>
      <c r="K124" s="224"/>
      <c r="L124" s="79">
        <v>20</v>
      </c>
    </row>
    <row r="125" spans="1:12" ht="48" customHeight="1" x14ac:dyDescent="0.2">
      <c r="A125" s="165">
        <v>123</v>
      </c>
      <c r="B125" s="11" t="s">
        <v>14</v>
      </c>
      <c r="C125" s="34" t="s">
        <v>405</v>
      </c>
      <c r="D125" s="20" t="s">
        <v>16</v>
      </c>
      <c r="E125" s="20" t="s">
        <v>484</v>
      </c>
      <c r="F125" s="162" t="s">
        <v>485</v>
      </c>
      <c r="G125" s="11" t="s">
        <v>476</v>
      </c>
      <c r="H125" s="173" t="s">
        <v>486</v>
      </c>
      <c r="I125" s="11" t="s">
        <v>487</v>
      </c>
      <c r="J125" s="224">
        <v>2</v>
      </c>
      <c r="K125" s="224"/>
      <c r="L125" s="79">
        <f>16+15</f>
        <v>31</v>
      </c>
    </row>
    <row r="126" spans="1:12" ht="48" customHeight="1" x14ac:dyDescent="0.2">
      <c r="A126" s="165">
        <v>124</v>
      </c>
      <c r="B126" s="11" t="s">
        <v>14</v>
      </c>
      <c r="C126" s="34" t="s">
        <v>405</v>
      </c>
      <c r="D126" s="20" t="s">
        <v>16</v>
      </c>
      <c r="E126" s="20" t="s">
        <v>488</v>
      </c>
      <c r="F126" s="162" t="s">
        <v>489</v>
      </c>
      <c r="G126" s="11" t="s">
        <v>490</v>
      </c>
      <c r="H126" s="173" t="s">
        <v>491</v>
      </c>
      <c r="I126" s="11" t="s">
        <v>492</v>
      </c>
      <c r="J126" s="79">
        <v>1</v>
      </c>
      <c r="K126" s="79"/>
      <c r="L126" s="79">
        <v>30</v>
      </c>
    </row>
    <row r="127" spans="1:12" ht="48" customHeight="1" x14ac:dyDescent="0.2">
      <c r="A127" s="165">
        <v>125</v>
      </c>
      <c r="B127" s="11" t="s">
        <v>14</v>
      </c>
      <c r="C127" s="34" t="s">
        <v>405</v>
      </c>
      <c r="D127" s="20" t="s">
        <v>16</v>
      </c>
      <c r="E127" s="20" t="s">
        <v>493</v>
      </c>
      <c r="F127" s="162" t="s">
        <v>50</v>
      </c>
      <c r="G127" s="11" t="s">
        <v>494</v>
      </c>
      <c r="H127" s="173" t="s">
        <v>495</v>
      </c>
      <c r="I127" s="11" t="s">
        <v>496</v>
      </c>
      <c r="J127" s="224">
        <v>3</v>
      </c>
      <c r="K127" s="224"/>
      <c r="L127" s="79">
        <f>16+16+16</f>
        <v>48</v>
      </c>
    </row>
    <row r="128" spans="1:12" ht="48" customHeight="1" x14ac:dyDescent="0.2">
      <c r="A128" s="165">
        <v>126</v>
      </c>
      <c r="B128" s="11" t="s">
        <v>14</v>
      </c>
      <c r="C128" s="34" t="s">
        <v>405</v>
      </c>
      <c r="D128" s="20" t="s">
        <v>16</v>
      </c>
      <c r="E128" s="20" t="s">
        <v>497</v>
      </c>
      <c r="F128" s="162" t="s">
        <v>498</v>
      </c>
      <c r="G128" s="11" t="s">
        <v>499</v>
      </c>
      <c r="H128" s="173">
        <v>80000770307</v>
      </c>
      <c r="I128" s="11" t="s">
        <v>430</v>
      </c>
      <c r="J128" s="224">
        <v>1</v>
      </c>
      <c r="K128" s="224"/>
      <c r="L128" s="79">
        <v>11</v>
      </c>
    </row>
    <row r="129" spans="1:12" ht="48" customHeight="1" x14ac:dyDescent="0.2">
      <c r="A129" s="165">
        <v>127</v>
      </c>
      <c r="B129" s="11" t="s">
        <v>14</v>
      </c>
      <c r="C129" s="34" t="s">
        <v>405</v>
      </c>
      <c r="D129" s="20" t="s">
        <v>16</v>
      </c>
      <c r="E129" s="20" t="s">
        <v>500</v>
      </c>
      <c r="F129" s="208" t="s">
        <v>501</v>
      </c>
      <c r="G129" s="69" t="s">
        <v>502</v>
      </c>
      <c r="H129" s="210">
        <v>80000770307</v>
      </c>
      <c r="I129" s="69" t="s">
        <v>430</v>
      </c>
      <c r="J129" s="224">
        <v>1</v>
      </c>
      <c r="K129" s="224"/>
      <c r="L129" s="79">
        <v>22</v>
      </c>
    </row>
    <row r="130" spans="1:12" ht="48" customHeight="1" x14ac:dyDescent="0.2">
      <c r="A130" s="165">
        <v>128</v>
      </c>
      <c r="B130" s="11" t="s">
        <v>14</v>
      </c>
      <c r="C130" s="34" t="s">
        <v>405</v>
      </c>
      <c r="D130" s="20" t="s">
        <v>16</v>
      </c>
      <c r="E130" s="20" t="s">
        <v>503</v>
      </c>
      <c r="F130" s="208" t="s">
        <v>504</v>
      </c>
      <c r="G130" s="69" t="s">
        <v>505</v>
      </c>
      <c r="H130" s="210">
        <v>80000770307</v>
      </c>
      <c r="I130" s="69" t="s">
        <v>430</v>
      </c>
      <c r="J130" s="224">
        <v>2</v>
      </c>
      <c r="K130" s="224"/>
      <c r="L130" s="79">
        <f>19+18</f>
        <v>37</v>
      </c>
    </row>
    <row r="131" spans="1:12" ht="48" customHeight="1" x14ac:dyDescent="0.2">
      <c r="A131" s="165">
        <v>129</v>
      </c>
      <c r="B131" s="11" t="s">
        <v>14</v>
      </c>
      <c r="C131" s="34" t="s">
        <v>405</v>
      </c>
      <c r="D131" s="20" t="s">
        <v>16</v>
      </c>
      <c r="E131" s="20" t="s">
        <v>506</v>
      </c>
      <c r="F131" s="162" t="s">
        <v>507</v>
      </c>
      <c r="G131" s="11" t="s">
        <v>508</v>
      </c>
      <c r="H131" s="173" t="s">
        <v>509</v>
      </c>
      <c r="I131" s="11" t="s">
        <v>510</v>
      </c>
      <c r="J131" s="224">
        <v>3</v>
      </c>
      <c r="K131" s="224"/>
      <c r="L131" s="79">
        <f>17+16+16</f>
        <v>49</v>
      </c>
    </row>
    <row r="132" spans="1:12" ht="48" customHeight="1" x14ac:dyDescent="0.2">
      <c r="A132" s="165">
        <v>130</v>
      </c>
      <c r="B132" s="11" t="s">
        <v>14</v>
      </c>
      <c r="C132" s="34" t="s">
        <v>405</v>
      </c>
      <c r="D132" s="20" t="s">
        <v>16</v>
      </c>
      <c r="E132" s="20" t="s">
        <v>511</v>
      </c>
      <c r="F132" s="162" t="s">
        <v>205</v>
      </c>
      <c r="G132" s="11" t="s">
        <v>512</v>
      </c>
      <c r="H132" s="173">
        <v>81002580306</v>
      </c>
      <c r="I132" s="11" t="s">
        <v>513</v>
      </c>
      <c r="J132" s="224">
        <v>3</v>
      </c>
      <c r="K132" s="224"/>
      <c r="L132" s="79">
        <f>15+17+15</f>
        <v>47</v>
      </c>
    </row>
    <row r="133" spans="1:12" ht="48" customHeight="1" x14ac:dyDescent="0.2">
      <c r="A133" s="165">
        <v>131</v>
      </c>
      <c r="B133" s="11" t="s">
        <v>14</v>
      </c>
      <c r="C133" s="34" t="s">
        <v>405</v>
      </c>
      <c r="D133" s="20" t="s">
        <v>16</v>
      </c>
      <c r="E133" s="20" t="s">
        <v>514</v>
      </c>
      <c r="F133" s="162" t="s">
        <v>102</v>
      </c>
      <c r="G133" s="11" t="s">
        <v>515</v>
      </c>
      <c r="H133" s="173" t="s">
        <v>516</v>
      </c>
      <c r="I133" s="11" t="s">
        <v>517</v>
      </c>
      <c r="J133" s="224">
        <v>2</v>
      </c>
      <c r="K133" s="224"/>
      <c r="L133" s="79">
        <f>17+16</f>
        <v>33</v>
      </c>
    </row>
    <row r="134" spans="1:12" ht="48" customHeight="1" x14ac:dyDescent="0.2">
      <c r="A134" s="165">
        <v>132</v>
      </c>
      <c r="B134" s="11" t="s">
        <v>14</v>
      </c>
      <c r="C134" s="34" t="s">
        <v>405</v>
      </c>
      <c r="D134" s="20" t="s">
        <v>16</v>
      </c>
      <c r="E134" s="20" t="s">
        <v>518</v>
      </c>
      <c r="F134" s="162" t="s">
        <v>519</v>
      </c>
      <c r="G134" s="11" t="s">
        <v>520</v>
      </c>
      <c r="H134" s="173">
        <v>80000770307</v>
      </c>
      <c r="I134" s="11" t="s">
        <v>430</v>
      </c>
      <c r="J134" s="224">
        <v>1</v>
      </c>
      <c r="K134" s="224"/>
      <c r="L134" s="79">
        <v>28</v>
      </c>
    </row>
    <row r="135" spans="1:12" ht="48" customHeight="1" x14ac:dyDescent="0.2">
      <c r="A135" s="165">
        <v>133</v>
      </c>
      <c r="B135" s="11" t="s">
        <v>14</v>
      </c>
      <c r="C135" s="34" t="s">
        <v>405</v>
      </c>
      <c r="D135" s="20" t="s">
        <v>16</v>
      </c>
      <c r="E135" s="20" t="s">
        <v>521</v>
      </c>
      <c r="F135" s="162" t="s">
        <v>522</v>
      </c>
      <c r="G135" s="11" t="s">
        <v>3</v>
      </c>
      <c r="H135" s="173" t="s">
        <v>523</v>
      </c>
      <c r="I135" s="11" t="s">
        <v>524</v>
      </c>
      <c r="J135" s="224">
        <v>3</v>
      </c>
      <c r="K135" s="224"/>
      <c r="L135" s="79">
        <f>20+16+21</f>
        <v>57</v>
      </c>
    </row>
    <row r="136" spans="1:12" ht="48" customHeight="1" x14ac:dyDescent="0.2">
      <c r="A136" s="165">
        <v>134</v>
      </c>
      <c r="B136" s="11" t="s">
        <v>14</v>
      </c>
      <c r="C136" s="34" t="s">
        <v>405</v>
      </c>
      <c r="D136" s="20" t="s">
        <v>16</v>
      </c>
      <c r="E136" s="20" t="s">
        <v>525</v>
      </c>
      <c r="F136" s="162" t="s">
        <v>70</v>
      </c>
      <c r="G136" s="11" t="s">
        <v>3</v>
      </c>
      <c r="H136" s="188" t="s">
        <v>20</v>
      </c>
      <c r="I136" s="11" t="s">
        <v>21</v>
      </c>
      <c r="J136" s="224">
        <v>5</v>
      </c>
      <c r="K136" s="224"/>
      <c r="L136" s="79">
        <f>22+24+22+21+20</f>
        <v>109</v>
      </c>
    </row>
    <row r="137" spans="1:12" ht="48" customHeight="1" x14ac:dyDescent="0.2">
      <c r="A137" s="165">
        <v>135</v>
      </c>
      <c r="B137" s="11" t="s">
        <v>14</v>
      </c>
      <c r="C137" s="34" t="s">
        <v>405</v>
      </c>
      <c r="D137" s="20" t="s">
        <v>16</v>
      </c>
      <c r="E137" s="20" t="s">
        <v>526</v>
      </c>
      <c r="F137" s="162" t="s">
        <v>527</v>
      </c>
      <c r="G137" s="11" t="s">
        <v>3</v>
      </c>
      <c r="H137" s="173" t="s">
        <v>528</v>
      </c>
      <c r="I137" s="11" t="s">
        <v>529</v>
      </c>
      <c r="J137" s="224">
        <v>4</v>
      </c>
      <c r="K137" s="224"/>
      <c r="L137" s="79">
        <f>24+22+16+16</f>
        <v>78</v>
      </c>
    </row>
    <row r="138" spans="1:12" ht="48" customHeight="1" x14ac:dyDescent="0.2">
      <c r="A138" s="165">
        <v>136</v>
      </c>
      <c r="B138" s="11" t="s">
        <v>14</v>
      </c>
      <c r="C138" s="34" t="s">
        <v>405</v>
      </c>
      <c r="D138" s="20" t="s">
        <v>16</v>
      </c>
      <c r="E138" s="20" t="s">
        <v>530</v>
      </c>
      <c r="F138" s="162" t="s">
        <v>531</v>
      </c>
      <c r="G138" s="11" t="s">
        <v>532</v>
      </c>
      <c r="H138" s="173" t="s">
        <v>533</v>
      </c>
      <c r="I138" s="11" t="s">
        <v>534</v>
      </c>
      <c r="J138" s="224">
        <v>1</v>
      </c>
      <c r="K138" s="224"/>
      <c r="L138" s="79">
        <v>14</v>
      </c>
    </row>
    <row r="139" spans="1:12" ht="48" customHeight="1" x14ac:dyDescent="0.2">
      <c r="A139" s="165">
        <v>137</v>
      </c>
      <c r="B139" s="11" t="s">
        <v>14</v>
      </c>
      <c r="C139" s="34" t="s">
        <v>405</v>
      </c>
      <c r="D139" s="20" t="s">
        <v>16</v>
      </c>
      <c r="E139" s="20" t="s">
        <v>535</v>
      </c>
      <c r="F139" s="162" t="s">
        <v>536</v>
      </c>
      <c r="G139" s="11" t="s">
        <v>537</v>
      </c>
      <c r="H139" s="173" t="s">
        <v>538</v>
      </c>
      <c r="I139" s="11" t="s">
        <v>539</v>
      </c>
      <c r="J139" s="224">
        <v>2</v>
      </c>
      <c r="K139" s="224"/>
      <c r="L139" s="79">
        <f>16+16</f>
        <v>32</v>
      </c>
    </row>
    <row r="140" spans="1:12" ht="48" customHeight="1" x14ac:dyDescent="0.2">
      <c r="A140" s="165">
        <v>138</v>
      </c>
      <c r="B140" s="11" t="s">
        <v>14</v>
      </c>
      <c r="C140" s="34" t="s">
        <v>405</v>
      </c>
      <c r="D140" s="20" t="s">
        <v>16</v>
      </c>
      <c r="E140" s="20" t="s">
        <v>540</v>
      </c>
      <c r="F140" s="162" t="s">
        <v>541</v>
      </c>
      <c r="G140" s="11" t="s">
        <v>542</v>
      </c>
      <c r="H140" s="173" t="s">
        <v>543</v>
      </c>
      <c r="I140" s="11" t="s">
        <v>544</v>
      </c>
      <c r="J140" s="224">
        <v>2</v>
      </c>
      <c r="K140" s="224"/>
      <c r="L140" s="79">
        <f>16+16</f>
        <v>32</v>
      </c>
    </row>
    <row r="141" spans="1:12" ht="48" customHeight="1" x14ac:dyDescent="0.2">
      <c r="A141" s="165">
        <v>139</v>
      </c>
      <c r="B141" s="11" t="s">
        <v>14</v>
      </c>
      <c r="C141" s="34" t="s">
        <v>405</v>
      </c>
      <c r="D141" s="20" t="s">
        <v>16</v>
      </c>
      <c r="E141" s="20" t="s">
        <v>545</v>
      </c>
      <c r="F141" s="162" t="s">
        <v>546</v>
      </c>
      <c r="G141" s="11" t="s">
        <v>547</v>
      </c>
      <c r="H141" s="173" t="s">
        <v>548</v>
      </c>
      <c r="I141" s="11" t="s">
        <v>549</v>
      </c>
      <c r="J141" s="224">
        <v>2</v>
      </c>
      <c r="K141" s="224"/>
      <c r="L141" s="79">
        <f>19+22</f>
        <v>41</v>
      </c>
    </row>
    <row r="142" spans="1:12" ht="48" customHeight="1" x14ac:dyDescent="0.2">
      <c r="A142" s="165">
        <v>140</v>
      </c>
      <c r="B142" s="11" t="s">
        <v>14</v>
      </c>
      <c r="C142" s="34" t="s">
        <v>405</v>
      </c>
      <c r="D142" s="20" t="s">
        <v>16</v>
      </c>
      <c r="E142" s="20" t="s">
        <v>550</v>
      </c>
      <c r="F142" s="162" t="s">
        <v>551</v>
      </c>
      <c r="G142" s="11" t="s">
        <v>552</v>
      </c>
      <c r="H142" s="173" t="s">
        <v>337</v>
      </c>
      <c r="I142" s="11" t="s">
        <v>338</v>
      </c>
      <c r="J142" s="224">
        <v>1</v>
      </c>
      <c r="K142" s="224"/>
      <c r="L142" s="79">
        <v>26</v>
      </c>
    </row>
    <row r="143" spans="1:12" ht="48" customHeight="1" x14ac:dyDescent="0.2">
      <c r="A143" s="165">
        <v>141</v>
      </c>
      <c r="B143" s="11" t="s">
        <v>14</v>
      </c>
      <c r="C143" s="34" t="s">
        <v>405</v>
      </c>
      <c r="D143" s="20" t="s">
        <v>16</v>
      </c>
      <c r="E143" s="20" t="s">
        <v>553</v>
      </c>
      <c r="F143" s="162" t="s">
        <v>554</v>
      </c>
      <c r="G143" s="11" t="s">
        <v>555</v>
      </c>
      <c r="H143" s="173" t="s">
        <v>556</v>
      </c>
      <c r="I143" s="11" t="s">
        <v>557</v>
      </c>
      <c r="J143" s="224">
        <v>2</v>
      </c>
      <c r="K143" s="224"/>
      <c r="L143" s="79">
        <f>20+20</f>
        <v>40</v>
      </c>
    </row>
    <row r="144" spans="1:12" ht="48" customHeight="1" x14ac:dyDescent="0.2">
      <c r="A144" s="165">
        <v>142</v>
      </c>
      <c r="B144" s="11" t="s">
        <v>14</v>
      </c>
      <c r="C144" s="34" t="s">
        <v>405</v>
      </c>
      <c r="D144" s="20" t="s">
        <v>16</v>
      </c>
      <c r="E144" s="20" t="s">
        <v>558</v>
      </c>
      <c r="F144" s="162" t="s">
        <v>559</v>
      </c>
      <c r="G144" s="11" t="s">
        <v>555</v>
      </c>
      <c r="H144" s="173" t="s">
        <v>560</v>
      </c>
      <c r="I144" s="11" t="s">
        <v>561</v>
      </c>
      <c r="J144" s="224">
        <v>3</v>
      </c>
      <c r="K144" s="224"/>
      <c r="L144" s="79">
        <f>15+27+27</f>
        <v>69</v>
      </c>
    </row>
    <row r="145" spans="1:12" ht="48" customHeight="1" x14ac:dyDescent="0.2">
      <c r="A145" s="165">
        <v>143</v>
      </c>
      <c r="B145" s="11" t="s">
        <v>14</v>
      </c>
      <c r="C145" s="34" t="s">
        <v>405</v>
      </c>
      <c r="D145" s="20" t="s">
        <v>16</v>
      </c>
      <c r="E145" s="20" t="s">
        <v>562</v>
      </c>
      <c r="F145" s="162" t="s">
        <v>158</v>
      </c>
      <c r="G145" s="11" t="s">
        <v>563</v>
      </c>
      <c r="H145" s="173" t="s">
        <v>564</v>
      </c>
      <c r="I145" s="11" t="s">
        <v>565</v>
      </c>
      <c r="J145" s="224">
        <v>3</v>
      </c>
      <c r="K145" s="224"/>
      <c r="L145" s="79">
        <f>17+15+23</f>
        <v>55</v>
      </c>
    </row>
    <row r="146" spans="1:12" ht="48" customHeight="1" x14ac:dyDescent="0.2">
      <c r="A146" s="165">
        <v>144</v>
      </c>
      <c r="B146" s="11" t="s">
        <v>14</v>
      </c>
      <c r="C146" s="34" t="s">
        <v>405</v>
      </c>
      <c r="D146" s="20" t="s">
        <v>16</v>
      </c>
      <c r="E146" s="20" t="s">
        <v>566</v>
      </c>
      <c r="F146" s="162" t="s">
        <v>567</v>
      </c>
      <c r="G146" s="11" t="s">
        <v>568</v>
      </c>
      <c r="H146" s="173" t="s">
        <v>569</v>
      </c>
      <c r="I146" s="11" t="s">
        <v>570</v>
      </c>
      <c r="J146" s="224">
        <v>1</v>
      </c>
      <c r="K146" s="224"/>
      <c r="L146" s="79">
        <v>28</v>
      </c>
    </row>
    <row r="147" spans="1:12" ht="48" customHeight="1" x14ac:dyDescent="0.2">
      <c r="A147" s="165">
        <v>145</v>
      </c>
      <c r="B147" s="11" t="s">
        <v>14</v>
      </c>
      <c r="C147" s="34" t="s">
        <v>405</v>
      </c>
      <c r="D147" s="20" t="s">
        <v>16</v>
      </c>
      <c r="E147" s="20" t="s">
        <v>571</v>
      </c>
      <c r="F147" s="162" t="s">
        <v>60</v>
      </c>
      <c r="G147" s="11" t="s">
        <v>572</v>
      </c>
      <c r="H147" s="173">
        <v>94066330302</v>
      </c>
      <c r="I147" s="11" t="s">
        <v>573</v>
      </c>
      <c r="J147" s="224">
        <v>1</v>
      </c>
      <c r="K147" s="224"/>
      <c r="L147" s="79">
        <v>27</v>
      </c>
    </row>
    <row r="148" spans="1:12" ht="48" customHeight="1" x14ac:dyDescent="0.2">
      <c r="A148" s="165">
        <v>146</v>
      </c>
      <c r="B148" s="11" t="s">
        <v>14</v>
      </c>
      <c r="C148" s="34" t="s">
        <v>405</v>
      </c>
      <c r="D148" s="20" t="s">
        <v>16</v>
      </c>
      <c r="E148" s="20" t="s">
        <v>574</v>
      </c>
      <c r="F148" s="162" t="s">
        <v>575</v>
      </c>
      <c r="G148" s="11" t="s">
        <v>576</v>
      </c>
      <c r="H148" s="173" t="s">
        <v>577</v>
      </c>
      <c r="I148" s="11" t="s">
        <v>578</v>
      </c>
      <c r="J148" s="224">
        <v>3</v>
      </c>
      <c r="K148" s="224"/>
      <c r="L148" s="79">
        <f>23+18+25</f>
        <v>66</v>
      </c>
    </row>
    <row r="149" spans="1:12" ht="48" customHeight="1" x14ac:dyDescent="0.2">
      <c r="A149" s="165">
        <v>147</v>
      </c>
      <c r="B149" s="11" t="s">
        <v>14</v>
      </c>
      <c r="C149" s="34" t="s">
        <v>405</v>
      </c>
      <c r="D149" s="20" t="s">
        <v>16</v>
      </c>
      <c r="E149" s="20" t="s">
        <v>579</v>
      </c>
      <c r="F149" s="162" t="s">
        <v>60</v>
      </c>
      <c r="G149" s="11" t="s">
        <v>580</v>
      </c>
      <c r="H149" s="173" t="s">
        <v>581</v>
      </c>
      <c r="I149" s="11" t="s">
        <v>582</v>
      </c>
      <c r="J149" s="224">
        <v>3</v>
      </c>
      <c r="K149" s="224"/>
      <c r="L149" s="79">
        <f>17+18+18</f>
        <v>53</v>
      </c>
    </row>
    <row r="150" spans="1:12" ht="48" customHeight="1" x14ac:dyDescent="0.2">
      <c r="A150" s="165">
        <v>148</v>
      </c>
      <c r="B150" s="11" t="s">
        <v>14</v>
      </c>
      <c r="C150" s="34" t="s">
        <v>405</v>
      </c>
      <c r="D150" s="20" t="s">
        <v>16</v>
      </c>
      <c r="E150" s="20" t="s">
        <v>583</v>
      </c>
      <c r="F150" s="162" t="s">
        <v>584</v>
      </c>
      <c r="G150" s="11" t="s">
        <v>585</v>
      </c>
      <c r="H150" s="173" t="s">
        <v>586</v>
      </c>
      <c r="I150" s="11" t="s">
        <v>587</v>
      </c>
      <c r="J150" s="224">
        <v>3</v>
      </c>
      <c r="K150" s="224"/>
      <c r="L150" s="79">
        <f>21+22+22</f>
        <v>65</v>
      </c>
    </row>
    <row r="151" spans="1:12" ht="48" customHeight="1" x14ac:dyDescent="0.2">
      <c r="A151" s="165">
        <v>149</v>
      </c>
      <c r="B151" s="11" t="s">
        <v>14</v>
      </c>
      <c r="C151" s="34" t="s">
        <v>405</v>
      </c>
      <c r="D151" s="20" t="s">
        <v>16</v>
      </c>
      <c r="E151" s="20" t="s">
        <v>588</v>
      </c>
      <c r="F151" s="162" t="s">
        <v>589</v>
      </c>
      <c r="G151" s="11" t="s">
        <v>590</v>
      </c>
      <c r="H151" s="173" t="s">
        <v>528</v>
      </c>
      <c r="I151" s="11" t="s">
        <v>529</v>
      </c>
      <c r="J151" s="224">
        <v>1</v>
      </c>
      <c r="K151" s="224"/>
      <c r="L151" s="79">
        <v>33</v>
      </c>
    </row>
    <row r="152" spans="1:12" ht="48" customHeight="1" x14ac:dyDescent="0.2">
      <c r="A152" s="165">
        <v>150</v>
      </c>
      <c r="B152" s="11" t="s">
        <v>14</v>
      </c>
      <c r="C152" s="34" t="s">
        <v>405</v>
      </c>
      <c r="D152" s="20" t="s">
        <v>16</v>
      </c>
      <c r="E152" s="20" t="s">
        <v>591</v>
      </c>
      <c r="F152" s="162" t="s">
        <v>592</v>
      </c>
      <c r="G152" s="11" t="s">
        <v>593</v>
      </c>
      <c r="H152" s="173" t="s">
        <v>594</v>
      </c>
      <c r="I152" s="11" t="s">
        <v>595</v>
      </c>
      <c r="J152" s="224">
        <v>3</v>
      </c>
      <c r="K152" s="224"/>
      <c r="L152" s="79">
        <f>18+18+17</f>
        <v>53</v>
      </c>
    </row>
    <row r="153" spans="1:12" ht="48" customHeight="1" x14ac:dyDescent="0.2">
      <c r="A153" s="165">
        <v>151</v>
      </c>
      <c r="B153" s="11" t="s">
        <v>14</v>
      </c>
      <c r="C153" s="34" t="s">
        <v>405</v>
      </c>
      <c r="D153" s="20" t="s">
        <v>16</v>
      </c>
      <c r="E153" s="20" t="s">
        <v>596</v>
      </c>
      <c r="F153" s="162" t="s">
        <v>597</v>
      </c>
      <c r="G153" s="11" t="s">
        <v>598</v>
      </c>
      <c r="H153" s="173" t="s">
        <v>599</v>
      </c>
      <c r="I153" s="11" t="s">
        <v>600</v>
      </c>
      <c r="J153" s="224">
        <v>3</v>
      </c>
      <c r="K153" s="224"/>
      <c r="L153" s="79">
        <f>21+21+22</f>
        <v>64</v>
      </c>
    </row>
    <row r="154" spans="1:12" ht="48" customHeight="1" x14ac:dyDescent="0.2">
      <c r="A154" s="165">
        <v>152</v>
      </c>
      <c r="B154" s="11" t="s">
        <v>14</v>
      </c>
      <c r="C154" s="34" t="s">
        <v>405</v>
      </c>
      <c r="D154" s="20" t="s">
        <v>16</v>
      </c>
      <c r="E154" s="20" t="s">
        <v>601</v>
      </c>
      <c r="F154" s="162" t="s">
        <v>602</v>
      </c>
      <c r="G154" s="11" t="s">
        <v>603</v>
      </c>
      <c r="H154" s="173" t="s">
        <v>604</v>
      </c>
      <c r="I154" s="11" t="s">
        <v>96</v>
      </c>
      <c r="J154" s="224">
        <v>3</v>
      </c>
      <c r="K154" s="224"/>
      <c r="L154" s="79">
        <f>19+17+17</f>
        <v>53</v>
      </c>
    </row>
    <row r="155" spans="1:12" ht="48" customHeight="1" x14ac:dyDescent="0.2">
      <c r="A155" s="165">
        <v>153</v>
      </c>
      <c r="B155" s="11" t="s">
        <v>14</v>
      </c>
      <c r="C155" s="34" t="s">
        <v>405</v>
      </c>
      <c r="D155" s="20" t="s">
        <v>16</v>
      </c>
      <c r="E155" s="20" t="s">
        <v>605</v>
      </c>
      <c r="F155" s="162" t="s">
        <v>50</v>
      </c>
      <c r="G155" s="11" t="s">
        <v>606</v>
      </c>
      <c r="H155" s="173" t="s">
        <v>607</v>
      </c>
      <c r="I155" s="11" t="s">
        <v>608</v>
      </c>
      <c r="J155" s="224">
        <v>5</v>
      </c>
      <c r="K155" s="224"/>
      <c r="L155" s="79">
        <f>25+15+15+19+18</f>
        <v>92</v>
      </c>
    </row>
    <row r="156" spans="1:12" ht="48" customHeight="1" x14ac:dyDescent="0.2">
      <c r="A156" s="165">
        <v>154</v>
      </c>
      <c r="B156" s="11" t="s">
        <v>14</v>
      </c>
      <c r="C156" s="34" t="s">
        <v>405</v>
      </c>
      <c r="D156" s="20" t="s">
        <v>16</v>
      </c>
      <c r="E156" s="20" t="s">
        <v>609</v>
      </c>
      <c r="F156" s="162" t="s">
        <v>470</v>
      </c>
      <c r="G156" s="11" t="s">
        <v>610</v>
      </c>
      <c r="H156" s="173" t="s">
        <v>611</v>
      </c>
      <c r="I156" s="11" t="s">
        <v>612</v>
      </c>
      <c r="J156" s="224">
        <v>3</v>
      </c>
      <c r="K156" s="224"/>
      <c r="L156" s="79">
        <f>23+16+20</f>
        <v>59</v>
      </c>
    </row>
    <row r="157" spans="1:12" ht="48" customHeight="1" x14ac:dyDescent="0.2">
      <c r="A157" s="165">
        <v>155</v>
      </c>
      <c r="B157" s="11" t="s">
        <v>14</v>
      </c>
      <c r="C157" s="34" t="s">
        <v>405</v>
      </c>
      <c r="D157" s="20" t="s">
        <v>16</v>
      </c>
      <c r="E157" s="20" t="s">
        <v>613</v>
      </c>
      <c r="F157" s="162" t="s">
        <v>614</v>
      </c>
      <c r="G157" s="11" t="s">
        <v>615</v>
      </c>
      <c r="H157" s="173">
        <v>80000770307</v>
      </c>
      <c r="I157" s="11" t="s">
        <v>430</v>
      </c>
      <c r="J157" s="224">
        <v>2</v>
      </c>
      <c r="K157" s="224"/>
      <c r="L157" s="79">
        <f>23+22</f>
        <v>45</v>
      </c>
    </row>
    <row r="158" spans="1:12" ht="48" customHeight="1" x14ac:dyDescent="0.2">
      <c r="A158" s="165">
        <v>156</v>
      </c>
      <c r="B158" s="11" t="s">
        <v>14</v>
      </c>
      <c r="C158" s="34" t="s">
        <v>405</v>
      </c>
      <c r="D158" s="20" t="s">
        <v>16</v>
      </c>
      <c r="E158" s="20" t="s">
        <v>616</v>
      </c>
      <c r="F158" s="162" t="s">
        <v>617</v>
      </c>
      <c r="G158" s="11" t="s">
        <v>618</v>
      </c>
      <c r="H158" s="173" t="s">
        <v>619</v>
      </c>
      <c r="I158" s="11" t="s">
        <v>620</v>
      </c>
      <c r="J158" s="224">
        <v>3</v>
      </c>
      <c r="K158" s="224"/>
      <c r="L158" s="79">
        <f>24+25+24</f>
        <v>73</v>
      </c>
    </row>
    <row r="159" spans="1:12" ht="48" customHeight="1" x14ac:dyDescent="0.2">
      <c r="A159" s="165">
        <v>157</v>
      </c>
      <c r="B159" s="11" t="s">
        <v>14</v>
      </c>
      <c r="C159" s="34" t="s">
        <v>405</v>
      </c>
      <c r="D159" s="20" t="s">
        <v>16</v>
      </c>
      <c r="E159" s="20" t="s">
        <v>621</v>
      </c>
      <c r="F159" s="208" t="s">
        <v>622</v>
      </c>
      <c r="G159" s="69" t="s">
        <v>623</v>
      </c>
      <c r="H159" s="210">
        <v>80000770307</v>
      </c>
      <c r="I159" s="69" t="s">
        <v>430</v>
      </c>
      <c r="J159" s="224">
        <v>1</v>
      </c>
      <c r="K159" s="224"/>
      <c r="L159" s="79">
        <v>27</v>
      </c>
    </row>
    <row r="160" spans="1:12" ht="48" customHeight="1" x14ac:dyDescent="0.2">
      <c r="A160" s="165">
        <v>158</v>
      </c>
      <c r="B160" s="11" t="s">
        <v>14</v>
      </c>
      <c r="C160" s="34" t="s">
        <v>405</v>
      </c>
      <c r="D160" s="20" t="s">
        <v>16</v>
      </c>
      <c r="E160" s="20" t="s">
        <v>624</v>
      </c>
      <c r="F160" s="162" t="s">
        <v>625</v>
      </c>
      <c r="G160" s="11" t="s">
        <v>626</v>
      </c>
      <c r="H160" s="173" t="s">
        <v>627</v>
      </c>
      <c r="I160" s="11" t="s">
        <v>628</v>
      </c>
      <c r="J160" s="224">
        <v>3</v>
      </c>
      <c r="K160" s="224"/>
      <c r="L160" s="79">
        <f>18+22+19</f>
        <v>59</v>
      </c>
    </row>
    <row r="161" spans="1:12" ht="48" customHeight="1" x14ac:dyDescent="0.2">
      <c r="A161" s="165">
        <v>159</v>
      </c>
      <c r="B161" s="11" t="s">
        <v>14</v>
      </c>
      <c r="C161" s="34" t="s">
        <v>405</v>
      </c>
      <c r="D161" s="20" t="s">
        <v>16</v>
      </c>
      <c r="E161" s="20" t="s">
        <v>629</v>
      </c>
      <c r="F161" s="162" t="s">
        <v>50</v>
      </c>
      <c r="G161" s="11" t="s">
        <v>630</v>
      </c>
      <c r="H161" s="173" t="s">
        <v>631</v>
      </c>
      <c r="I161" s="11" t="s">
        <v>632</v>
      </c>
      <c r="J161" s="224">
        <v>2</v>
      </c>
      <c r="K161" s="224"/>
      <c r="L161" s="79">
        <f>16+21</f>
        <v>37</v>
      </c>
    </row>
    <row r="162" spans="1:12" ht="48" customHeight="1" x14ac:dyDescent="0.2">
      <c r="A162" s="165">
        <v>160</v>
      </c>
      <c r="B162" s="11" t="s">
        <v>14</v>
      </c>
      <c r="C162" s="34" t="s">
        <v>405</v>
      </c>
      <c r="D162" s="20" t="s">
        <v>16</v>
      </c>
      <c r="E162" s="20" t="s">
        <v>633</v>
      </c>
      <c r="F162" s="162" t="s">
        <v>634</v>
      </c>
      <c r="G162" s="11" t="s">
        <v>635</v>
      </c>
      <c r="H162" s="173" t="s">
        <v>636</v>
      </c>
      <c r="I162" s="11" t="s">
        <v>194</v>
      </c>
      <c r="J162" s="224">
        <v>2</v>
      </c>
      <c r="K162" s="224"/>
      <c r="L162" s="79">
        <f>18+18</f>
        <v>36</v>
      </c>
    </row>
    <row r="163" spans="1:12" ht="48" customHeight="1" x14ac:dyDescent="0.2">
      <c r="A163" s="165">
        <v>161</v>
      </c>
      <c r="B163" s="11" t="s">
        <v>14</v>
      </c>
      <c r="C163" s="34" t="s">
        <v>405</v>
      </c>
      <c r="D163" s="20" t="s">
        <v>16</v>
      </c>
      <c r="E163" s="20" t="s">
        <v>637</v>
      </c>
      <c r="F163" s="162" t="s">
        <v>638</v>
      </c>
      <c r="G163" s="11" t="s">
        <v>639</v>
      </c>
      <c r="H163" s="173" t="s">
        <v>640</v>
      </c>
      <c r="I163" s="11" t="s">
        <v>641</v>
      </c>
      <c r="J163" s="224">
        <v>4</v>
      </c>
      <c r="K163" s="224"/>
      <c r="L163" s="79">
        <f>23+22+23+23</f>
        <v>91</v>
      </c>
    </row>
    <row r="164" spans="1:12" ht="48" customHeight="1" x14ac:dyDescent="0.2">
      <c r="A164" s="165">
        <v>162</v>
      </c>
      <c r="B164" s="11" t="s">
        <v>14</v>
      </c>
      <c r="C164" s="34" t="s">
        <v>405</v>
      </c>
      <c r="D164" s="20" t="s">
        <v>16</v>
      </c>
      <c r="E164" s="20" t="s">
        <v>642</v>
      </c>
      <c r="F164" s="162" t="s">
        <v>65</v>
      </c>
      <c r="G164" s="11" t="s">
        <v>643</v>
      </c>
      <c r="H164" s="173" t="s">
        <v>644</v>
      </c>
      <c r="I164" s="11" t="s">
        <v>645</v>
      </c>
      <c r="J164" s="224">
        <v>1</v>
      </c>
      <c r="K164" s="224"/>
      <c r="L164" s="79">
        <v>27</v>
      </c>
    </row>
    <row r="165" spans="1:12" ht="48" customHeight="1" x14ac:dyDescent="0.2">
      <c r="A165" s="165">
        <v>163</v>
      </c>
      <c r="B165" s="11" t="s">
        <v>14</v>
      </c>
      <c r="C165" s="34" t="s">
        <v>405</v>
      </c>
      <c r="D165" s="20" t="s">
        <v>16</v>
      </c>
      <c r="E165" s="20" t="s">
        <v>646</v>
      </c>
      <c r="F165" s="162" t="s">
        <v>647</v>
      </c>
      <c r="G165" s="11" t="s">
        <v>648</v>
      </c>
      <c r="H165" s="173" t="s">
        <v>649</v>
      </c>
      <c r="I165" s="11" t="s">
        <v>650</v>
      </c>
      <c r="J165" s="224">
        <v>3</v>
      </c>
      <c r="K165" s="224"/>
      <c r="L165" s="79">
        <f>20+18+18</f>
        <v>56</v>
      </c>
    </row>
    <row r="166" spans="1:12" ht="48" customHeight="1" x14ac:dyDescent="0.2">
      <c r="A166" s="165">
        <v>164</v>
      </c>
      <c r="B166" s="11" t="s">
        <v>14</v>
      </c>
      <c r="C166" s="34" t="s">
        <v>405</v>
      </c>
      <c r="D166" s="20" t="s">
        <v>16</v>
      </c>
      <c r="E166" s="20" t="s">
        <v>651</v>
      </c>
      <c r="F166" s="162" t="s">
        <v>652</v>
      </c>
      <c r="G166" s="11" t="s">
        <v>3</v>
      </c>
      <c r="H166" s="173" t="s">
        <v>653</v>
      </c>
      <c r="I166" s="11" t="s">
        <v>654</v>
      </c>
      <c r="J166" s="224">
        <v>3</v>
      </c>
      <c r="K166" s="224"/>
      <c r="L166" s="79">
        <f>15+15+19</f>
        <v>49</v>
      </c>
    </row>
    <row r="167" spans="1:12" ht="48" customHeight="1" x14ac:dyDescent="0.2">
      <c r="A167" s="165">
        <v>165</v>
      </c>
      <c r="B167" s="11" t="s">
        <v>14</v>
      </c>
      <c r="C167" s="34" t="s">
        <v>405</v>
      </c>
      <c r="D167" s="20" t="s">
        <v>16</v>
      </c>
      <c r="E167" s="20" t="s">
        <v>655</v>
      </c>
      <c r="F167" s="162" t="s">
        <v>656</v>
      </c>
      <c r="G167" s="11" t="s">
        <v>3</v>
      </c>
      <c r="H167" s="173">
        <v>80000770307</v>
      </c>
      <c r="I167" s="11" t="s">
        <v>430</v>
      </c>
      <c r="J167" s="224">
        <v>2</v>
      </c>
      <c r="K167" s="224"/>
      <c r="L167" s="79">
        <f>16+21</f>
        <v>37</v>
      </c>
    </row>
    <row r="168" spans="1:12" ht="48" customHeight="1" x14ac:dyDescent="0.2">
      <c r="A168" s="165">
        <v>166</v>
      </c>
      <c r="B168" s="11" t="s">
        <v>14</v>
      </c>
      <c r="C168" s="34" t="s">
        <v>405</v>
      </c>
      <c r="D168" s="20" t="s">
        <v>16</v>
      </c>
      <c r="E168" s="20" t="s">
        <v>657</v>
      </c>
      <c r="F168" s="162" t="s">
        <v>658</v>
      </c>
      <c r="G168" s="11" t="s">
        <v>3</v>
      </c>
      <c r="H168" s="173" t="s">
        <v>659</v>
      </c>
      <c r="I168" s="11" t="s">
        <v>660</v>
      </c>
      <c r="J168" s="224">
        <v>4</v>
      </c>
      <c r="K168" s="224"/>
      <c r="L168" s="79">
        <f>24+25+26+22</f>
        <v>97</v>
      </c>
    </row>
    <row r="169" spans="1:12" ht="48" customHeight="1" x14ac:dyDescent="0.2">
      <c r="A169" s="165">
        <v>167</v>
      </c>
      <c r="B169" s="11" t="s">
        <v>14</v>
      </c>
      <c r="C169" s="34" t="s">
        <v>405</v>
      </c>
      <c r="D169" s="20" t="s">
        <v>16</v>
      </c>
      <c r="E169" s="20" t="s">
        <v>661</v>
      </c>
      <c r="F169" s="162" t="s">
        <v>662</v>
      </c>
      <c r="G169" s="11" t="s">
        <v>3</v>
      </c>
      <c r="H169" s="173" t="s">
        <v>663</v>
      </c>
      <c r="I169" s="11" t="s">
        <v>664</v>
      </c>
      <c r="J169" s="224">
        <v>4</v>
      </c>
      <c r="K169" s="224"/>
      <c r="L169" s="79">
        <f>25+23+24+20</f>
        <v>92</v>
      </c>
    </row>
    <row r="170" spans="1:12" ht="48" customHeight="1" x14ac:dyDescent="0.2">
      <c r="A170" s="165">
        <v>168</v>
      </c>
      <c r="B170" s="11" t="s">
        <v>14</v>
      </c>
      <c r="C170" s="34" t="s">
        <v>405</v>
      </c>
      <c r="D170" s="20" t="s">
        <v>16</v>
      </c>
      <c r="E170" s="20" t="s">
        <v>665</v>
      </c>
      <c r="F170" s="162" t="s">
        <v>666</v>
      </c>
      <c r="G170" s="11" t="s">
        <v>667</v>
      </c>
      <c r="H170" s="173" t="s">
        <v>668</v>
      </c>
      <c r="I170" s="11" t="s">
        <v>669</v>
      </c>
      <c r="J170" s="224">
        <v>2</v>
      </c>
      <c r="K170" s="224"/>
      <c r="L170" s="79">
        <f>20+20</f>
        <v>40</v>
      </c>
    </row>
    <row r="171" spans="1:12" ht="48" customHeight="1" x14ac:dyDescent="0.2">
      <c r="A171" s="165">
        <v>169</v>
      </c>
      <c r="B171" s="11" t="s">
        <v>14</v>
      </c>
      <c r="C171" s="34" t="s">
        <v>405</v>
      </c>
      <c r="D171" s="20" t="s">
        <v>16</v>
      </c>
      <c r="E171" s="20" t="s">
        <v>670</v>
      </c>
      <c r="F171" s="162" t="s">
        <v>671</v>
      </c>
      <c r="G171" s="11" t="s">
        <v>672</v>
      </c>
      <c r="H171" s="173" t="s">
        <v>673</v>
      </c>
      <c r="I171" s="11" t="s">
        <v>674</v>
      </c>
      <c r="J171" s="224">
        <v>2</v>
      </c>
      <c r="K171" s="224"/>
      <c r="L171" s="79">
        <f>17+22</f>
        <v>39</v>
      </c>
    </row>
    <row r="172" spans="1:12" ht="48" customHeight="1" x14ac:dyDescent="0.2">
      <c r="A172" s="165">
        <v>170</v>
      </c>
      <c r="B172" s="11" t="s">
        <v>14</v>
      </c>
      <c r="C172" s="34" t="s">
        <v>405</v>
      </c>
      <c r="D172" s="20" t="s">
        <v>16</v>
      </c>
      <c r="E172" s="20" t="s">
        <v>675</v>
      </c>
      <c r="F172" s="162" t="s">
        <v>676</v>
      </c>
      <c r="G172" s="11" t="s">
        <v>3</v>
      </c>
      <c r="H172" s="173" t="s">
        <v>677</v>
      </c>
      <c r="I172" s="11" t="s">
        <v>678</v>
      </c>
      <c r="J172" s="224">
        <v>3</v>
      </c>
      <c r="K172" s="224"/>
      <c r="L172" s="79">
        <f>15+19+21</f>
        <v>55</v>
      </c>
    </row>
    <row r="173" spans="1:12" ht="48" customHeight="1" x14ac:dyDescent="0.2">
      <c r="A173" s="165">
        <v>171</v>
      </c>
      <c r="B173" s="11"/>
      <c r="C173" s="20" t="s">
        <v>405</v>
      </c>
      <c r="D173" s="20" t="s">
        <v>16</v>
      </c>
      <c r="E173" s="20" t="s">
        <v>679</v>
      </c>
      <c r="F173" s="162" t="s">
        <v>680</v>
      </c>
      <c r="G173" s="11" t="s">
        <v>3</v>
      </c>
      <c r="H173" s="173" t="s">
        <v>681</v>
      </c>
      <c r="I173" s="78" t="s">
        <v>682</v>
      </c>
      <c r="J173" s="79">
        <v>3</v>
      </c>
      <c r="K173" s="79"/>
      <c r="L173" s="79">
        <f>14+17+12</f>
        <v>43</v>
      </c>
    </row>
    <row r="174" spans="1:12" ht="48" customHeight="1" thickBot="1" x14ac:dyDescent="0.25">
      <c r="A174" s="165">
        <v>172</v>
      </c>
      <c r="B174" s="26" t="s">
        <v>14</v>
      </c>
      <c r="C174" s="26" t="s">
        <v>405</v>
      </c>
      <c r="D174" s="26" t="s">
        <v>16</v>
      </c>
      <c r="E174" s="26" t="s">
        <v>683</v>
      </c>
      <c r="F174" s="12" t="s">
        <v>684</v>
      </c>
      <c r="G174" s="12" t="s">
        <v>3</v>
      </c>
      <c r="H174" s="190" t="s">
        <v>685</v>
      </c>
      <c r="I174" s="12" t="s">
        <v>686</v>
      </c>
      <c r="J174" s="83">
        <v>1</v>
      </c>
      <c r="K174" s="83"/>
      <c r="L174" s="83">
        <v>27</v>
      </c>
    </row>
    <row r="175" spans="1:12" ht="45" customHeight="1" thickBot="1" x14ac:dyDescent="0.25">
      <c r="A175" s="140"/>
      <c r="B175" s="52"/>
      <c r="C175" s="141"/>
      <c r="D175" s="45"/>
      <c r="E175" s="45"/>
      <c r="F175" s="213"/>
      <c r="G175" s="52"/>
      <c r="H175" s="191"/>
      <c r="I175" s="52"/>
      <c r="J175" s="142"/>
      <c r="K175" s="142"/>
      <c r="L175" s="142"/>
    </row>
    <row r="176" spans="1:12" ht="45" customHeight="1" thickBot="1" x14ac:dyDescent="0.25">
      <c r="A176" s="140"/>
      <c r="B176" s="52"/>
      <c r="C176" s="141"/>
      <c r="D176" s="45"/>
      <c r="E176" s="45"/>
      <c r="F176" s="213"/>
      <c r="G176" s="52"/>
      <c r="H176" s="191"/>
      <c r="I176" s="214" t="s">
        <v>687</v>
      </c>
      <c r="J176" s="46">
        <f t="shared" ref="J176:L176" si="0">SUM(J3:J174)</f>
        <v>504</v>
      </c>
      <c r="K176" s="46">
        <f>SUM(K3:K174)</f>
        <v>0</v>
      </c>
      <c r="L176" s="46">
        <f t="shared" si="0"/>
        <v>10027</v>
      </c>
    </row>
  </sheetData>
  <autoFilter ref="A2:L174" xr:uid="{00000000-0009-0000-0000-000001000000}"/>
  <phoneticPr fontId="2" type="noConversion"/>
  <printOptions horizontalCentered="1"/>
  <pageMargins left="0.23622047244094491" right="0.23622047244094491" top="1.7322834645669292" bottom="0.74803149606299213" header="0.31496062992125984" footer="0.31496062992125984"/>
  <pageSetup paperSize="8" scale="90" orientation="landscape" r:id="rId1"/>
  <headerFooter alignWithMargins="0">
    <oddHeader>&amp;LScuole dell'infanzia paritarie&amp;C&amp;G&amp;RAnno scolastico 2021/2022</oddHeader>
    <oddFooter>&amp;R&amp;P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5"/>
  <sheetViews>
    <sheetView topLeftCell="A11" zoomScale="75" zoomScaleNormal="75" workbookViewId="0">
      <pane xSplit="7215" ySplit="2295" topLeftCell="A18" activePane="bottomRight"/>
      <selection pane="topRight" activeCell="C11" sqref="C1:C1048576"/>
      <selection pane="bottomLeft" activeCell="H14" sqref="H14"/>
      <selection pane="bottomRight" activeCell="T31" sqref="T31"/>
    </sheetView>
  </sheetViews>
  <sheetFormatPr defaultRowHeight="12.75" x14ac:dyDescent="0.2"/>
  <cols>
    <col min="1" max="1" width="9.625" style="3" customWidth="1"/>
    <col min="2" max="2" width="8.25" style="3" customWidth="1"/>
    <col min="3" max="3" width="16.125" style="62" customWidth="1"/>
    <col min="4" max="4" width="16" style="62" customWidth="1"/>
    <col min="5" max="5" width="11.625" style="3" bestFit="1" customWidth="1"/>
    <col min="6" max="6" width="10.625" style="3" bestFit="1" customWidth="1"/>
    <col min="7" max="7" width="21.875" style="3" customWidth="1"/>
    <col min="8" max="8" width="2.25" style="3" customWidth="1"/>
    <col min="9" max="12" width="2.625" style="3" customWidth="1"/>
    <col min="13" max="13" width="4" style="3" bestFit="1" customWidth="1"/>
    <col min="14" max="14" width="3.25" style="3" customWidth="1"/>
    <col min="15" max="18" width="2.625" style="3" bestFit="1" customWidth="1"/>
    <col min="19" max="19" width="5.625" style="3" bestFit="1" customWidth="1"/>
    <col min="20" max="16384" width="9" style="3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12" spans="1:19" s="10" customFormat="1" ht="38.25" customHeight="1" x14ac:dyDescent="0.2">
      <c r="A12" s="254" t="s">
        <v>4</v>
      </c>
      <c r="B12" s="254" t="s">
        <v>688</v>
      </c>
      <c r="C12" s="256" t="s">
        <v>6</v>
      </c>
      <c r="D12" s="258" t="s">
        <v>7</v>
      </c>
      <c r="E12" s="252" t="s">
        <v>8</v>
      </c>
      <c r="F12" s="261" t="s">
        <v>9</v>
      </c>
      <c r="G12" s="261" t="s">
        <v>10</v>
      </c>
      <c r="H12" s="260" t="s">
        <v>820</v>
      </c>
      <c r="I12" s="250"/>
      <c r="J12" s="250"/>
      <c r="K12" s="250"/>
      <c r="L12" s="250"/>
      <c r="M12" s="251"/>
      <c r="N12" s="250" t="s">
        <v>821</v>
      </c>
      <c r="O12" s="250"/>
      <c r="P12" s="250"/>
      <c r="Q12" s="250"/>
      <c r="R12" s="250"/>
      <c r="S12" s="251"/>
    </row>
    <row r="13" spans="1:19" s="7" customFormat="1" ht="77.25" customHeight="1" x14ac:dyDescent="0.2">
      <c r="A13" s="255"/>
      <c r="B13" s="255"/>
      <c r="C13" s="257"/>
      <c r="D13" s="259"/>
      <c r="E13" s="253"/>
      <c r="F13" s="262"/>
      <c r="G13" s="262"/>
      <c r="H13" s="6">
        <v>1</v>
      </c>
      <c r="I13" s="6">
        <v>2</v>
      </c>
      <c r="J13" s="6">
        <v>3</v>
      </c>
      <c r="K13" s="6">
        <v>4</v>
      </c>
      <c r="L13" s="6">
        <v>5</v>
      </c>
      <c r="M13" s="6" t="s">
        <v>689</v>
      </c>
      <c r="N13" s="183">
        <v>1</v>
      </c>
      <c r="O13" s="6">
        <v>2</v>
      </c>
      <c r="P13" s="6">
        <v>3</v>
      </c>
      <c r="Q13" s="6">
        <v>4</v>
      </c>
      <c r="R13" s="6">
        <v>5</v>
      </c>
      <c r="S13" s="6" t="s">
        <v>689</v>
      </c>
    </row>
    <row r="14" spans="1:19" ht="45.95" customHeight="1" x14ac:dyDescent="0.2">
      <c r="A14" s="20" t="s">
        <v>690</v>
      </c>
      <c r="B14" s="20" t="s">
        <v>691</v>
      </c>
      <c r="C14" s="57" t="s">
        <v>692</v>
      </c>
      <c r="D14" s="69" t="s">
        <v>693</v>
      </c>
      <c r="E14" s="11" t="s">
        <v>0</v>
      </c>
      <c r="F14" s="16" t="s">
        <v>694</v>
      </c>
      <c r="G14" s="17" t="s">
        <v>695</v>
      </c>
      <c r="H14" s="21">
        <v>1</v>
      </c>
      <c r="I14" s="21">
        <v>2</v>
      </c>
      <c r="J14" s="21">
        <v>2</v>
      </c>
      <c r="K14" s="21">
        <v>2</v>
      </c>
      <c r="L14" s="21">
        <v>1</v>
      </c>
      <c r="M14" s="22">
        <f>SUM(H14:L14)</f>
        <v>8</v>
      </c>
      <c r="N14" s="21">
        <f>22</f>
        <v>22</v>
      </c>
      <c r="O14" s="21">
        <f>15+13</f>
        <v>28</v>
      </c>
      <c r="P14" s="21">
        <f>19+16</f>
        <v>35</v>
      </c>
      <c r="Q14" s="21">
        <f>23+25</f>
        <v>48</v>
      </c>
      <c r="R14" s="21">
        <v>25</v>
      </c>
      <c r="S14" s="227">
        <f t="shared" ref="S14:S34" si="0">SUM(N14:R14)</f>
        <v>158</v>
      </c>
    </row>
    <row r="15" spans="1:19" ht="45.95" customHeight="1" x14ac:dyDescent="0.2">
      <c r="A15" s="20" t="s">
        <v>690</v>
      </c>
      <c r="B15" s="20" t="s">
        <v>691</v>
      </c>
      <c r="C15" s="95" t="s">
        <v>696</v>
      </c>
      <c r="D15" s="96" t="s">
        <v>697</v>
      </c>
      <c r="E15" s="47" t="s">
        <v>19</v>
      </c>
      <c r="F15" s="219" t="s">
        <v>698</v>
      </c>
      <c r="G15" s="220" t="s">
        <v>699</v>
      </c>
      <c r="H15" s="49">
        <v>1</v>
      </c>
      <c r="I15" s="49">
        <v>1</v>
      </c>
      <c r="J15" s="49">
        <v>1</v>
      </c>
      <c r="K15" s="49">
        <v>1</v>
      </c>
      <c r="L15" s="49">
        <v>1</v>
      </c>
      <c r="M15" s="147">
        <f>SUM(H15:L15)</f>
        <v>5</v>
      </c>
      <c r="N15" s="49">
        <v>4</v>
      </c>
      <c r="O15" s="49">
        <v>8</v>
      </c>
      <c r="P15" s="49">
        <v>4</v>
      </c>
      <c r="Q15" s="49">
        <v>7</v>
      </c>
      <c r="R15" s="49">
        <v>1</v>
      </c>
      <c r="S15" s="228">
        <f>SUM(N15:R15)</f>
        <v>24</v>
      </c>
    </row>
    <row r="16" spans="1:19" ht="45.95" customHeight="1" thickBot="1" x14ac:dyDescent="0.25">
      <c r="A16" s="26" t="s">
        <v>690</v>
      </c>
      <c r="B16" s="26" t="s">
        <v>691</v>
      </c>
      <c r="C16" s="59" t="s">
        <v>700</v>
      </c>
      <c r="D16" s="70" t="s">
        <v>701</v>
      </c>
      <c r="E16" s="12" t="s">
        <v>40</v>
      </c>
      <c r="F16" s="14" t="s">
        <v>41</v>
      </c>
      <c r="G16" s="14" t="s">
        <v>42</v>
      </c>
      <c r="H16" s="27">
        <v>1</v>
      </c>
      <c r="I16" s="26">
        <v>1</v>
      </c>
      <c r="J16" s="27">
        <v>1</v>
      </c>
      <c r="K16" s="27">
        <v>1</v>
      </c>
      <c r="L16" s="29">
        <v>1</v>
      </c>
      <c r="M16" s="28">
        <f t="shared" ref="M16:M33" si="1">SUM(H16:L16)</f>
        <v>5</v>
      </c>
      <c r="N16" s="27">
        <v>5</v>
      </c>
      <c r="O16" s="27">
        <v>5</v>
      </c>
      <c r="P16" s="27">
        <v>13</v>
      </c>
      <c r="Q16" s="27">
        <v>6</v>
      </c>
      <c r="R16" s="27">
        <v>13</v>
      </c>
      <c r="S16" s="229">
        <f t="shared" si="0"/>
        <v>42</v>
      </c>
    </row>
    <row r="17" spans="1:20" ht="45.95" customHeight="1" x14ac:dyDescent="0.2">
      <c r="A17" s="30" t="s">
        <v>702</v>
      </c>
      <c r="B17" s="30" t="s">
        <v>691</v>
      </c>
      <c r="C17" s="63" t="s">
        <v>703</v>
      </c>
      <c r="D17" s="71" t="s">
        <v>704</v>
      </c>
      <c r="E17" s="31" t="s">
        <v>1</v>
      </c>
      <c r="F17" s="18" t="s">
        <v>705</v>
      </c>
      <c r="G17" s="18" t="s">
        <v>706</v>
      </c>
      <c r="H17" s="32">
        <v>3</v>
      </c>
      <c r="I17" s="32">
        <v>2</v>
      </c>
      <c r="J17" s="32">
        <v>2</v>
      </c>
      <c r="K17" s="32">
        <v>2</v>
      </c>
      <c r="L17" s="32">
        <v>2</v>
      </c>
      <c r="M17" s="33">
        <f t="shared" si="1"/>
        <v>11</v>
      </c>
      <c r="N17" s="32">
        <f>20+18+18</f>
        <v>56</v>
      </c>
      <c r="O17" s="32">
        <f>20+19</f>
        <v>39</v>
      </c>
      <c r="P17" s="32">
        <f>18+17</f>
        <v>35</v>
      </c>
      <c r="Q17" s="32">
        <f>21+20</f>
        <v>41</v>
      </c>
      <c r="R17" s="32">
        <f>20+22</f>
        <v>42</v>
      </c>
      <c r="S17" s="230">
        <f t="shared" si="0"/>
        <v>213</v>
      </c>
    </row>
    <row r="18" spans="1:20" ht="45.95" customHeight="1" thickBot="1" x14ac:dyDescent="0.25">
      <c r="A18" s="35" t="s">
        <v>702</v>
      </c>
      <c r="B18" s="35" t="s">
        <v>691</v>
      </c>
      <c r="C18" s="64" t="s">
        <v>707</v>
      </c>
      <c r="D18" s="72" t="s">
        <v>708</v>
      </c>
      <c r="E18" s="36" t="s">
        <v>1</v>
      </c>
      <c r="F18" s="143" t="s">
        <v>709</v>
      </c>
      <c r="G18" s="19" t="s">
        <v>710</v>
      </c>
      <c r="H18" s="37">
        <v>1</v>
      </c>
      <c r="I18" s="37">
        <v>2</v>
      </c>
      <c r="J18" s="37">
        <v>2</v>
      </c>
      <c r="K18" s="37">
        <v>2</v>
      </c>
      <c r="L18" s="37">
        <v>1</v>
      </c>
      <c r="M18" s="38">
        <f t="shared" si="1"/>
        <v>8</v>
      </c>
      <c r="N18" s="37">
        <v>21</v>
      </c>
      <c r="O18" s="37">
        <f>15+15</f>
        <v>30</v>
      </c>
      <c r="P18" s="37">
        <f>19+18</f>
        <v>37</v>
      </c>
      <c r="Q18" s="37">
        <f>19+19</f>
        <v>38</v>
      </c>
      <c r="R18" s="37">
        <v>19</v>
      </c>
      <c r="S18" s="229">
        <f t="shared" si="0"/>
        <v>145</v>
      </c>
      <c r="T18" s="185"/>
    </row>
    <row r="19" spans="1:20" ht="45.95" customHeight="1" x14ac:dyDescent="0.2">
      <c r="A19" s="39" t="s">
        <v>711</v>
      </c>
      <c r="B19" s="39" t="s">
        <v>691</v>
      </c>
      <c r="C19" s="65" t="s">
        <v>712</v>
      </c>
      <c r="D19" s="67" t="s">
        <v>713</v>
      </c>
      <c r="E19" s="40" t="s">
        <v>2</v>
      </c>
      <c r="F19" s="18" t="s">
        <v>317</v>
      </c>
      <c r="G19" s="18" t="s">
        <v>318</v>
      </c>
      <c r="H19" s="41">
        <v>1</v>
      </c>
      <c r="I19" s="41">
        <v>1</v>
      </c>
      <c r="J19" s="41">
        <v>1</v>
      </c>
      <c r="K19" s="41">
        <v>1</v>
      </c>
      <c r="L19" s="41">
        <v>1</v>
      </c>
      <c r="M19" s="33">
        <f t="shared" si="1"/>
        <v>5</v>
      </c>
      <c r="N19" s="41">
        <v>16</v>
      </c>
      <c r="O19" s="41">
        <v>21</v>
      </c>
      <c r="P19" s="41">
        <v>20</v>
      </c>
      <c r="Q19" s="41">
        <v>21</v>
      </c>
      <c r="R19" s="41">
        <v>16</v>
      </c>
      <c r="S19" s="227">
        <f t="shared" si="0"/>
        <v>94</v>
      </c>
    </row>
    <row r="20" spans="1:20" ht="45.95" customHeight="1" x14ac:dyDescent="0.2">
      <c r="A20" s="42" t="s">
        <v>711</v>
      </c>
      <c r="B20" s="42" t="s">
        <v>691</v>
      </c>
      <c r="C20" s="66" t="s">
        <v>714</v>
      </c>
      <c r="D20" s="68" t="s">
        <v>715</v>
      </c>
      <c r="E20" s="43" t="s">
        <v>2</v>
      </c>
      <c r="F20" s="17" t="s">
        <v>313</v>
      </c>
      <c r="G20" s="17" t="s">
        <v>314</v>
      </c>
      <c r="H20" s="44">
        <v>1</v>
      </c>
      <c r="I20" s="44">
        <v>1</v>
      </c>
      <c r="J20" s="44">
        <v>1</v>
      </c>
      <c r="K20" s="44">
        <v>1</v>
      </c>
      <c r="L20" s="44">
        <v>1</v>
      </c>
      <c r="M20" s="23">
        <f t="shared" si="1"/>
        <v>5</v>
      </c>
      <c r="N20" s="44">
        <v>20</v>
      </c>
      <c r="O20" s="44">
        <v>21</v>
      </c>
      <c r="P20" s="44">
        <v>19</v>
      </c>
      <c r="Q20" s="44">
        <v>20</v>
      </c>
      <c r="R20" s="44">
        <v>20</v>
      </c>
      <c r="S20" s="227">
        <f t="shared" si="0"/>
        <v>100</v>
      </c>
    </row>
    <row r="21" spans="1:20" ht="45.95" customHeight="1" x14ac:dyDescent="0.2">
      <c r="A21" s="42" t="s">
        <v>711</v>
      </c>
      <c r="B21" s="42" t="s">
        <v>691</v>
      </c>
      <c r="C21" s="66" t="s">
        <v>716</v>
      </c>
      <c r="D21" s="68" t="s">
        <v>717</v>
      </c>
      <c r="E21" s="43" t="s">
        <v>2</v>
      </c>
      <c r="F21" s="17" t="s">
        <v>323</v>
      </c>
      <c r="G21" s="17" t="s">
        <v>324</v>
      </c>
      <c r="H21" s="44">
        <v>1</v>
      </c>
      <c r="I21" s="44">
        <v>1</v>
      </c>
      <c r="J21" s="44">
        <v>1</v>
      </c>
      <c r="K21" s="44">
        <v>1</v>
      </c>
      <c r="L21" s="44">
        <v>1</v>
      </c>
      <c r="M21" s="23">
        <f t="shared" si="1"/>
        <v>5</v>
      </c>
      <c r="N21" s="44">
        <v>16</v>
      </c>
      <c r="O21" s="44">
        <v>18</v>
      </c>
      <c r="P21" s="44">
        <v>14</v>
      </c>
      <c r="Q21" s="44">
        <v>15</v>
      </c>
      <c r="R21" s="44">
        <v>21</v>
      </c>
      <c r="S21" s="227">
        <f t="shared" si="0"/>
        <v>84</v>
      </c>
    </row>
    <row r="22" spans="1:20" ht="45.95" customHeight="1" x14ac:dyDescent="0.2">
      <c r="A22" s="42" t="s">
        <v>711</v>
      </c>
      <c r="B22" s="42" t="s">
        <v>691</v>
      </c>
      <c r="C22" s="66" t="s">
        <v>718</v>
      </c>
      <c r="D22" s="68" t="s">
        <v>719</v>
      </c>
      <c r="E22" s="43" t="s">
        <v>2</v>
      </c>
      <c r="F22" s="17" t="s">
        <v>337</v>
      </c>
      <c r="G22" s="17" t="s">
        <v>338</v>
      </c>
      <c r="H22" s="44">
        <v>1</v>
      </c>
      <c r="I22" s="44">
        <v>1</v>
      </c>
      <c r="J22" s="44">
        <v>1</v>
      </c>
      <c r="K22" s="44">
        <v>1</v>
      </c>
      <c r="L22" s="44">
        <v>1</v>
      </c>
      <c r="M22" s="23">
        <f t="shared" si="1"/>
        <v>5</v>
      </c>
      <c r="N22" s="44">
        <v>11</v>
      </c>
      <c r="O22" s="44">
        <v>18</v>
      </c>
      <c r="P22" s="44">
        <v>19</v>
      </c>
      <c r="Q22" s="44">
        <v>19</v>
      </c>
      <c r="R22" s="44">
        <v>22</v>
      </c>
      <c r="S22" s="227">
        <f t="shared" si="0"/>
        <v>89</v>
      </c>
    </row>
    <row r="23" spans="1:20" ht="45.95" customHeight="1" x14ac:dyDescent="0.2">
      <c r="A23" s="42" t="s">
        <v>711</v>
      </c>
      <c r="B23" s="42" t="s">
        <v>691</v>
      </c>
      <c r="C23" s="66" t="s">
        <v>720</v>
      </c>
      <c r="D23" s="68" t="s">
        <v>721</v>
      </c>
      <c r="E23" s="43" t="s">
        <v>2</v>
      </c>
      <c r="F23" s="17" t="s">
        <v>341</v>
      </c>
      <c r="G23" s="17" t="s">
        <v>342</v>
      </c>
      <c r="H23" s="44">
        <v>1</v>
      </c>
      <c r="I23" s="44">
        <v>1</v>
      </c>
      <c r="J23" s="44">
        <v>1</v>
      </c>
      <c r="K23" s="44">
        <v>1</v>
      </c>
      <c r="L23" s="44">
        <v>1</v>
      </c>
      <c r="M23" s="23">
        <f t="shared" si="1"/>
        <v>5</v>
      </c>
      <c r="N23" s="44">
        <v>24</v>
      </c>
      <c r="O23" s="44">
        <v>27</v>
      </c>
      <c r="P23" s="44">
        <v>14</v>
      </c>
      <c r="Q23" s="44">
        <v>17</v>
      </c>
      <c r="R23" s="44">
        <v>21</v>
      </c>
      <c r="S23" s="227">
        <f t="shared" si="0"/>
        <v>103</v>
      </c>
    </row>
    <row r="24" spans="1:20" ht="45.95" customHeight="1" x14ac:dyDescent="0.2">
      <c r="A24" s="42" t="s">
        <v>711</v>
      </c>
      <c r="B24" s="42" t="s">
        <v>691</v>
      </c>
      <c r="C24" s="66" t="s">
        <v>722</v>
      </c>
      <c r="D24" s="68" t="s">
        <v>723</v>
      </c>
      <c r="E24" s="43" t="s">
        <v>2</v>
      </c>
      <c r="F24" s="17" t="s">
        <v>724</v>
      </c>
      <c r="G24" s="17" t="s">
        <v>725</v>
      </c>
      <c r="H24" s="44">
        <v>1</v>
      </c>
      <c r="I24" s="44">
        <v>1</v>
      </c>
      <c r="J24" s="44">
        <v>1</v>
      </c>
      <c r="K24" s="44">
        <v>1</v>
      </c>
      <c r="L24" s="44">
        <v>1</v>
      </c>
      <c r="M24" s="23">
        <f t="shared" si="1"/>
        <v>5</v>
      </c>
      <c r="N24" s="44">
        <v>8</v>
      </c>
      <c r="O24" s="44">
        <v>9</v>
      </c>
      <c r="P24" s="44">
        <v>7</v>
      </c>
      <c r="Q24" s="44">
        <v>11</v>
      </c>
      <c r="R24" s="44">
        <v>14</v>
      </c>
      <c r="S24" s="227">
        <f t="shared" si="0"/>
        <v>49</v>
      </c>
    </row>
    <row r="25" spans="1:20" ht="45.95" customHeight="1" thickBot="1" x14ac:dyDescent="0.25">
      <c r="A25" s="35" t="s">
        <v>711</v>
      </c>
      <c r="B25" s="35" t="s">
        <v>691</v>
      </c>
      <c r="C25" s="64" t="s">
        <v>726</v>
      </c>
      <c r="D25" s="72" t="s">
        <v>727</v>
      </c>
      <c r="E25" s="36" t="s">
        <v>2</v>
      </c>
      <c r="F25" s="14" t="s">
        <v>361</v>
      </c>
      <c r="G25" s="19" t="s">
        <v>362</v>
      </c>
      <c r="H25" s="37">
        <v>1</v>
      </c>
      <c r="I25" s="37">
        <v>1</v>
      </c>
      <c r="J25" s="37">
        <v>1</v>
      </c>
      <c r="K25" s="37">
        <v>1</v>
      </c>
      <c r="L25" s="37">
        <v>1</v>
      </c>
      <c r="M25" s="38">
        <f t="shared" si="1"/>
        <v>5</v>
      </c>
      <c r="N25" s="37">
        <v>23</v>
      </c>
      <c r="O25" s="37">
        <v>18</v>
      </c>
      <c r="P25" s="37">
        <v>17</v>
      </c>
      <c r="Q25" s="37">
        <v>21</v>
      </c>
      <c r="R25" s="37">
        <v>17</v>
      </c>
      <c r="S25" s="229">
        <f t="shared" si="0"/>
        <v>96</v>
      </c>
      <c r="T25" s="185"/>
    </row>
    <row r="26" spans="1:20" ht="45.95" customHeight="1" x14ac:dyDescent="0.2">
      <c r="A26" s="245" t="s">
        <v>728</v>
      </c>
      <c r="B26" s="245" t="s">
        <v>691</v>
      </c>
      <c r="C26" s="73" t="s">
        <v>822</v>
      </c>
      <c r="D26" s="74" t="s">
        <v>719</v>
      </c>
      <c r="E26" s="246" t="s">
        <v>3</v>
      </c>
      <c r="F26" s="17" t="s">
        <v>337</v>
      </c>
      <c r="G26" s="247" t="s">
        <v>338</v>
      </c>
      <c r="H26" s="160">
        <v>1</v>
      </c>
      <c r="I26" s="160">
        <v>1</v>
      </c>
      <c r="J26" s="160">
        <v>1</v>
      </c>
      <c r="K26" s="160">
        <v>1</v>
      </c>
      <c r="L26" s="160">
        <v>1</v>
      </c>
      <c r="M26" s="248">
        <f t="shared" si="1"/>
        <v>5</v>
      </c>
      <c r="N26" s="160">
        <v>15</v>
      </c>
      <c r="O26" s="160">
        <v>16</v>
      </c>
      <c r="P26" s="160">
        <v>17</v>
      </c>
      <c r="Q26" s="160">
        <v>19</v>
      </c>
      <c r="R26" s="160">
        <v>24</v>
      </c>
      <c r="S26" s="228">
        <f t="shared" si="0"/>
        <v>91</v>
      </c>
      <c r="T26" s="185"/>
    </row>
    <row r="27" spans="1:20" ht="45.95" customHeight="1" x14ac:dyDescent="0.2">
      <c r="A27" s="42" t="s">
        <v>728</v>
      </c>
      <c r="B27" s="42" t="s">
        <v>691</v>
      </c>
      <c r="C27" s="66" t="s">
        <v>729</v>
      </c>
      <c r="D27" s="68" t="s">
        <v>730</v>
      </c>
      <c r="E27" s="43" t="s">
        <v>3</v>
      </c>
      <c r="F27" s="17" t="s">
        <v>731</v>
      </c>
      <c r="G27" s="17" t="s">
        <v>732</v>
      </c>
      <c r="H27" s="44">
        <v>1</v>
      </c>
      <c r="I27" s="44">
        <v>1</v>
      </c>
      <c r="J27" s="44">
        <v>1</v>
      </c>
      <c r="K27" s="44">
        <v>1</v>
      </c>
      <c r="L27" s="44">
        <v>1</v>
      </c>
      <c r="M27" s="23">
        <f t="shared" si="1"/>
        <v>5</v>
      </c>
      <c r="N27" s="44">
        <v>11</v>
      </c>
      <c r="O27" s="44">
        <v>14</v>
      </c>
      <c r="P27" s="44">
        <v>13</v>
      </c>
      <c r="Q27" s="44">
        <v>19</v>
      </c>
      <c r="R27" s="44">
        <v>7</v>
      </c>
      <c r="S27" s="227">
        <f t="shared" si="0"/>
        <v>64</v>
      </c>
    </row>
    <row r="28" spans="1:20" ht="45.95" customHeight="1" x14ac:dyDescent="0.2">
      <c r="A28" s="42" t="s">
        <v>728</v>
      </c>
      <c r="B28" s="42" t="s">
        <v>691</v>
      </c>
      <c r="C28" s="66" t="s">
        <v>733</v>
      </c>
      <c r="D28" s="68" t="s">
        <v>734</v>
      </c>
      <c r="E28" s="43" t="s">
        <v>3</v>
      </c>
      <c r="F28" s="17" t="s">
        <v>659</v>
      </c>
      <c r="G28" s="17" t="s">
        <v>660</v>
      </c>
      <c r="H28" s="44">
        <v>1</v>
      </c>
      <c r="I28" s="44">
        <v>1</v>
      </c>
      <c r="J28" s="44">
        <v>1</v>
      </c>
      <c r="K28" s="44">
        <v>1</v>
      </c>
      <c r="L28" s="44">
        <v>1</v>
      </c>
      <c r="M28" s="23">
        <f t="shared" si="1"/>
        <v>5</v>
      </c>
      <c r="N28" s="44">
        <v>16</v>
      </c>
      <c r="O28" s="44">
        <v>15</v>
      </c>
      <c r="P28" s="44">
        <v>21</v>
      </c>
      <c r="Q28" s="44">
        <v>26</v>
      </c>
      <c r="R28" s="44">
        <v>17</v>
      </c>
      <c r="S28" s="227">
        <f t="shared" si="0"/>
        <v>95</v>
      </c>
    </row>
    <row r="29" spans="1:20" ht="45.95" customHeight="1" x14ac:dyDescent="0.2">
      <c r="A29" s="42" t="s">
        <v>728</v>
      </c>
      <c r="B29" s="42" t="s">
        <v>691</v>
      </c>
      <c r="C29" s="66" t="s">
        <v>735</v>
      </c>
      <c r="D29" s="68" t="s">
        <v>736</v>
      </c>
      <c r="E29" s="43" t="s">
        <v>429</v>
      </c>
      <c r="F29" s="17" t="s">
        <v>737</v>
      </c>
      <c r="G29" s="17" t="s">
        <v>738</v>
      </c>
      <c r="H29" s="44">
        <v>1</v>
      </c>
      <c r="I29" s="44">
        <v>1</v>
      </c>
      <c r="J29" s="44">
        <v>1</v>
      </c>
      <c r="K29" s="44">
        <v>1</v>
      </c>
      <c r="L29" s="44">
        <v>1</v>
      </c>
      <c r="M29" s="23">
        <f t="shared" si="1"/>
        <v>5</v>
      </c>
      <c r="N29" s="44">
        <v>10</v>
      </c>
      <c r="O29" s="44">
        <v>20</v>
      </c>
      <c r="P29" s="44">
        <v>12</v>
      </c>
      <c r="Q29" s="44">
        <v>15</v>
      </c>
      <c r="R29" s="44">
        <v>13</v>
      </c>
      <c r="S29" s="227">
        <f t="shared" si="0"/>
        <v>70</v>
      </c>
    </row>
    <row r="30" spans="1:20" ht="45.95" customHeight="1" x14ac:dyDescent="0.2">
      <c r="A30" s="42" t="s">
        <v>728</v>
      </c>
      <c r="B30" s="42" t="s">
        <v>691</v>
      </c>
      <c r="C30" s="66" t="s">
        <v>739</v>
      </c>
      <c r="D30" s="68" t="s">
        <v>740</v>
      </c>
      <c r="E30" s="43" t="s">
        <v>3</v>
      </c>
      <c r="F30" s="17" t="s">
        <v>741</v>
      </c>
      <c r="G30" s="17" t="s">
        <v>742</v>
      </c>
      <c r="H30" s="44">
        <v>2</v>
      </c>
      <c r="I30" s="44">
        <v>2</v>
      </c>
      <c r="J30" s="44">
        <v>2</v>
      </c>
      <c r="K30" s="44">
        <v>2</v>
      </c>
      <c r="L30" s="44">
        <v>2</v>
      </c>
      <c r="M30" s="23">
        <f t="shared" si="1"/>
        <v>10</v>
      </c>
      <c r="N30" s="44">
        <f>21+21</f>
        <v>42</v>
      </c>
      <c r="O30" s="44">
        <f>20+21</f>
        <v>41</v>
      </c>
      <c r="P30" s="44">
        <f>19+21</f>
        <v>40</v>
      </c>
      <c r="Q30" s="44">
        <f>23+22</f>
        <v>45</v>
      </c>
      <c r="R30" s="44">
        <f>19+21</f>
        <v>40</v>
      </c>
      <c r="S30" s="227">
        <f t="shared" si="0"/>
        <v>208</v>
      </c>
    </row>
    <row r="31" spans="1:20" ht="45.95" customHeight="1" x14ac:dyDescent="0.2">
      <c r="A31" s="42" t="s">
        <v>728</v>
      </c>
      <c r="B31" s="42" t="s">
        <v>691</v>
      </c>
      <c r="C31" s="66" t="s">
        <v>743</v>
      </c>
      <c r="D31" s="68" t="s">
        <v>744</v>
      </c>
      <c r="E31" s="43" t="s">
        <v>3</v>
      </c>
      <c r="F31" s="17" t="s">
        <v>677</v>
      </c>
      <c r="G31" s="17" t="s">
        <v>678</v>
      </c>
      <c r="H31" s="44">
        <v>2</v>
      </c>
      <c r="I31" s="44">
        <v>2</v>
      </c>
      <c r="J31" s="44">
        <v>2</v>
      </c>
      <c r="K31" s="44">
        <v>1</v>
      </c>
      <c r="L31" s="44">
        <v>2</v>
      </c>
      <c r="M31" s="23">
        <f t="shared" si="1"/>
        <v>9</v>
      </c>
      <c r="N31" s="44">
        <f>11+12</f>
        <v>23</v>
      </c>
      <c r="O31" s="44">
        <f>17+16</f>
        <v>33</v>
      </c>
      <c r="P31" s="44">
        <f>14+16</f>
        <v>30</v>
      </c>
      <c r="Q31" s="44">
        <v>11</v>
      </c>
      <c r="R31" s="44">
        <f>17+17</f>
        <v>34</v>
      </c>
      <c r="S31" s="227">
        <f t="shared" si="0"/>
        <v>131</v>
      </c>
    </row>
    <row r="32" spans="1:20" ht="45.95" customHeight="1" x14ac:dyDescent="0.2">
      <c r="A32" s="42" t="s">
        <v>728</v>
      </c>
      <c r="B32" s="42" t="s">
        <v>691</v>
      </c>
      <c r="C32" s="66" t="s">
        <v>745</v>
      </c>
      <c r="D32" s="68" t="s">
        <v>746</v>
      </c>
      <c r="E32" s="43" t="s">
        <v>667</v>
      </c>
      <c r="F32" s="17" t="s">
        <v>668</v>
      </c>
      <c r="G32" s="17" t="s">
        <v>669</v>
      </c>
      <c r="H32" s="44">
        <v>1</v>
      </c>
      <c r="I32" s="44">
        <v>1</v>
      </c>
      <c r="J32" s="44">
        <v>1</v>
      </c>
      <c r="K32" s="44">
        <v>1</v>
      </c>
      <c r="L32" s="44">
        <v>1</v>
      </c>
      <c r="M32" s="23">
        <f t="shared" si="1"/>
        <v>5</v>
      </c>
      <c r="N32" s="44">
        <v>23</v>
      </c>
      <c r="O32" s="44">
        <v>21</v>
      </c>
      <c r="P32" s="156">
        <v>25</v>
      </c>
      <c r="Q32" s="44">
        <v>25</v>
      </c>
      <c r="R32" s="44">
        <v>14</v>
      </c>
      <c r="S32" s="227">
        <f t="shared" si="0"/>
        <v>108</v>
      </c>
    </row>
    <row r="33" spans="1:20" ht="45.95" customHeight="1" x14ac:dyDescent="0.2">
      <c r="A33" s="42" t="s">
        <v>728</v>
      </c>
      <c r="B33" s="42" t="s">
        <v>691</v>
      </c>
      <c r="C33" s="66" t="s">
        <v>747</v>
      </c>
      <c r="D33" s="68" t="s">
        <v>748</v>
      </c>
      <c r="E33" s="43" t="s">
        <v>481</v>
      </c>
      <c r="F33" s="17" t="s">
        <v>749</v>
      </c>
      <c r="G33" s="17" t="s">
        <v>750</v>
      </c>
      <c r="H33" s="44">
        <v>1</v>
      </c>
      <c r="I33" s="44">
        <v>1</v>
      </c>
      <c r="J33" s="44">
        <v>1</v>
      </c>
      <c r="K33" s="44">
        <v>1</v>
      </c>
      <c r="L33" s="44">
        <v>1</v>
      </c>
      <c r="M33" s="23">
        <f t="shared" si="1"/>
        <v>5</v>
      </c>
      <c r="N33" s="44">
        <v>17</v>
      </c>
      <c r="O33" s="44">
        <v>10</v>
      </c>
      <c r="P33" s="32">
        <v>14</v>
      </c>
      <c r="Q33" s="44">
        <v>15</v>
      </c>
      <c r="R33" s="44">
        <v>14</v>
      </c>
      <c r="S33" s="227">
        <f t="shared" si="0"/>
        <v>70</v>
      </c>
    </row>
    <row r="34" spans="1:20" ht="45.95" customHeight="1" x14ac:dyDescent="0.2">
      <c r="A34" s="154" t="s">
        <v>728</v>
      </c>
      <c r="B34" s="154" t="s">
        <v>691</v>
      </c>
      <c r="C34" s="148" t="s">
        <v>751</v>
      </c>
      <c r="D34" s="149" t="s">
        <v>752</v>
      </c>
      <c r="E34" s="155" t="s">
        <v>3</v>
      </c>
      <c r="F34" s="17" t="s">
        <v>681</v>
      </c>
      <c r="G34" s="78" t="s">
        <v>753</v>
      </c>
      <c r="H34" s="156">
        <v>1</v>
      </c>
      <c r="I34" s="156">
        <v>1</v>
      </c>
      <c r="J34" s="156">
        <v>1</v>
      </c>
      <c r="K34" s="156">
        <v>1</v>
      </c>
      <c r="L34" s="156">
        <v>1</v>
      </c>
      <c r="M34" s="145">
        <f>SUM(H34:L34)</f>
        <v>5</v>
      </c>
      <c r="N34" s="156">
        <v>20</v>
      </c>
      <c r="O34" s="156">
        <v>15</v>
      </c>
      <c r="P34" s="156">
        <v>16</v>
      </c>
      <c r="Q34" s="156">
        <v>20</v>
      </c>
      <c r="R34" s="156">
        <v>24</v>
      </c>
      <c r="S34" s="227">
        <f t="shared" si="0"/>
        <v>95</v>
      </c>
    </row>
    <row r="35" spans="1:20" s="24" customFormat="1" ht="45.95" customHeight="1" thickBot="1" x14ac:dyDescent="0.25">
      <c r="A35" s="45" t="s">
        <v>728</v>
      </c>
      <c r="B35" s="45" t="s">
        <v>691</v>
      </c>
      <c r="C35" s="45" t="s">
        <v>754</v>
      </c>
      <c r="D35" s="76" t="s">
        <v>755</v>
      </c>
      <c r="E35" s="45" t="s">
        <v>3</v>
      </c>
      <c r="F35" s="249" t="s">
        <v>756</v>
      </c>
      <c r="G35" s="81" t="s">
        <v>757</v>
      </c>
      <c r="H35" s="45">
        <v>2</v>
      </c>
      <c r="I35" s="45">
        <v>1</v>
      </c>
      <c r="J35" s="45">
        <v>1</v>
      </c>
      <c r="K35" s="45">
        <v>1</v>
      </c>
      <c r="L35" s="45">
        <v>2</v>
      </c>
      <c r="M35" s="28">
        <f>SUM(H35:L35)</f>
        <v>7</v>
      </c>
      <c r="N35" s="45">
        <f>24+23</f>
        <v>47</v>
      </c>
      <c r="O35" s="45">
        <v>24</v>
      </c>
      <c r="P35" s="45">
        <v>22</v>
      </c>
      <c r="Q35" s="45">
        <v>22</v>
      </c>
      <c r="R35" s="45">
        <f>14+15</f>
        <v>29</v>
      </c>
      <c r="S35" s="164">
        <f>SUM(N35:R35)</f>
        <v>144</v>
      </c>
      <c r="T35" s="77"/>
    </row>
    <row r="36" spans="1:20" ht="45" customHeight="1" thickBot="1" x14ac:dyDescent="0.25">
      <c r="A36" s="75" t="s">
        <v>758</v>
      </c>
      <c r="B36" s="45"/>
      <c r="C36" s="76"/>
      <c r="D36" s="76"/>
      <c r="E36" s="45"/>
      <c r="F36" s="45"/>
      <c r="G36" s="45"/>
      <c r="H36" s="45"/>
      <c r="I36" s="45"/>
      <c r="J36" s="45"/>
      <c r="K36" s="45"/>
      <c r="L36" s="45"/>
      <c r="M36" s="46">
        <f>SUM(M14:M35)</f>
        <v>133</v>
      </c>
      <c r="N36" s="45"/>
      <c r="O36" s="45"/>
      <c r="P36" s="45"/>
      <c r="Q36" s="45"/>
      <c r="R36" s="45"/>
      <c r="S36" s="46">
        <f>SUM(S14:S35)</f>
        <v>2273</v>
      </c>
    </row>
    <row r="37" spans="1:20" hidden="1" x14ac:dyDescent="0.2"/>
    <row r="38" spans="1:20" hidden="1" x14ac:dyDescent="0.2"/>
    <row r="39" spans="1:20" hidden="1" x14ac:dyDescent="0.2"/>
    <row r="45" spans="1:20" hidden="1" x14ac:dyDescent="0.2"/>
  </sheetData>
  <mergeCells count="9">
    <mergeCell ref="N12:S12"/>
    <mergeCell ref="E12:E13"/>
    <mergeCell ref="A12:A13"/>
    <mergeCell ref="B12:B13"/>
    <mergeCell ref="C12:C13"/>
    <mergeCell ref="D12:D13"/>
    <mergeCell ref="H12:M12"/>
    <mergeCell ref="F12:F13"/>
    <mergeCell ref="G12:G13"/>
  </mergeCells>
  <phoneticPr fontId="2" type="noConversion"/>
  <printOptions horizontalCentered="1"/>
  <pageMargins left="0.23622047244094491" right="0.23622047244094491" top="1.7322834645669292" bottom="0.74803149606299213" header="0.31496062992125984" footer="0.31496062992125984"/>
  <pageSetup paperSize="8" scale="80" orientation="landscape" r:id="rId1"/>
  <headerFooter alignWithMargins="0">
    <oddHeader>&amp;LScuole primarie paritarie&amp;C&amp;G&amp;RAnno scolastico 2021/2022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3"/>
  <sheetViews>
    <sheetView topLeftCell="C1" zoomScale="75" zoomScaleNormal="75" workbookViewId="0">
      <pane xSplit="5730" ySplit="1860" topLeftCell="A6" activePane="bottomRight"/>
      <selection pane="topRight" activeCell="Y1" sqref="Y1:AT1048576"/>
      <selection pane="bottomLeft" activeCell="C12" sqref="C12"/>
      <selection pane="bottomRight" activeCell="Q19" sqref="Q19"/>
    </sheetView>
  </sheetViews>
  <sheetFormatPr defaultRowHeight="12.75" x14ac:dyDescent="0.2"/>
  <cols>
    <col min="1" max="1" width="10" style="62" customWidth="1"/>
    <col min="2" max="2" width="13.5" style="62" bestFit="1" customWidth="1"/>
    <col min="3" max="3" width="14.75" style="62" customWidth="1"/>
    <col min="4" max="4" width="20.875" style="62" customWidth="1"/>
    <col min="5" max="5" width="11.75" style="62" customWidth="1"/>
    <col min="6" max="6" width="11.25" style="62" customWidth="1"/>
    <col min="7" max="7" width="21.625" style="62" customWidth="1"/>
    <col min="8" max="12" width="3.25" style="62" customWidth="1"/>
    <col min="13" max="13" width="4" style="62" customWidth="1"/>
    <col min="14" max="14" width="2.75" style="62" customWidth="1"/>
    <col min="15" max="15" width="4.25" style="62" customWidth="1"/>
    <col min="16" max="16" width="2.75" style="62" customWidth="1"/>
    <col min="17" max="17" width="4.25" style="62" customWidth="1"/>
    <col min="18" max="18" width="2.75" style="62" customWidth="1"/>
    <col min="19" max="19" width="5.625" style="62" bestFit="1" customWidth="1"/>
    <col min="20" max="20" width="2.125" style="62" hidden="1" customWidth="1"/>
    <col min="21" max="24" width="2.5" style="62" hidden="1" customWidth="1"/>
    <col min="25" max="25" width="9" style="3"/>
    <col min="26" max="16384" width="9" style="62"/>
  </cols>
  <sheetData>
    <row r="1" spans="1:25" ht="18.75" customHeight="1" x14ac:dyDescent="0.2">
      <c r="B1" s="84"/>
      <c r="C1" s="101"/>
      <c r="D1" s="84"/>
    </row>
    <row r="2" spans="1:25" s="104" customFormat="1" ht="91.5" customHeight="1" x14ac:dyDescent="0.2">
      <c r="A2" s="263" t="s">
        <v>4</v>
      </c>
      <c r="B2" s="265" t="s">
        <v>759</v>
      </c>
      <c r="C2" s="267" t="s">
        <v>6</v>
      </c>
      <c r="D2" s="265" t="s">
        <v>7</v>
      </c>
      <c r="E2" s="267" t="s">
        <v>8</v>
      </c>
      <c r="F2" s="273" t="s">
        <v>9</v>
      </c>
      <c r="G2" s="275" t="s">
        <v>10</v>
      </c>
      <c r="H2" s="269" t="s">
        <v>760</v>
      </c>
      <c r="I2" s="270"/>
      <c r="J2" s="270"/>
      <c r="K2" s="270"/>
      <c r="L2" s="270"/>
      <c r="M2" s="271"/>
      <c r="N2" s="269" t="s">
        <v>821</v>
      </c>
      <c r="O2" s="270"/>
      <c r="P2" s="270"/>
      <c r="Q2" s="270"/>
      <c r="R2" s="270"/>
      <c r="S2" s="272"/>
      <c r="T2" s="269" t="s">
        <v>13</v>
      </c>
      <c r="U2" s="270"/>
      <c r="V2" s="270"/>
      <c r="W2" s="270"/>
      <c r="X2" s="270"/>
      <c r="Y2" s="10"/>
    </row>
    <row r="3" spans="1:25" s="105" customFormat="1" ht="21" customHeight="1" x14ac:dyDescent="0.2">
      <c r="A3" s="264"/>
      <c r="B3" s="266"/>
      <c r="C3" s="268"/>
      <c r="D3" s="266"/>
      <c r="E3" s="268"/>
      <c r="F3" s="274"/>
      <c r="G3" s="276"/>
      <c r="H3" s="137">
        <v>1</v>
      </c>
      <c r="I3" s="138">
        <v>2</v>
      </c>
      <c r="J3" s="138">
        <v>3</v>
      </c>
      <c r="K3" s="138">
        <v>4</v>
      </c>
      <c r="L3" s="138">
        <v>5</v>
      </c>
      <c r="M3" s="139" t="s">
        <v>689</v>
      </c>
      <c r="N3" s="137">
        <v>1</v>
      </c>
      <c r="O3" s="138">
        <v>2</v>
      </c>
      <c r="P3" s="138">
        <v>3</v>
      </c>
      <c r="Q3" s="138">
        <v>4</v>
      </c>
      <c r="R3" s="138">
        <v>5</v>
      </c>
      <c r="S3" s="144" t="s">
        <v>689</v>
      </c>
      <c r="T3" s="137">
        <v>1</v>
      </c>
      <c r="U3" s="138">
        <v>2</v>
      </c>
      <c r="V3" s="138">
        <v>3</v>
      </c>
      <c r="W3" s="138">
        <v>4</v>
      </c>
      <c r="X3" s="138">
        <v>5</v>
      </c>
      <c r="Y3" s="7"/>
    </row>
    <row r="4" spans="1:25" ht="45.95" customHeight="1" x14ac:dyDescent="0.2">
      <c r="A4" s="85" t="s">
        <v>702</v>
      </c>
      <c r="B4" s="63" t="s">
        <v>789</v>
      </c>
      <c r="C4" s="63" t="s">
        <v>790</v>
      </c>
      <c r="D4" s="71" t="s">
        <v>791</v>
      </c>
      <c r="E4" s="71" t="s">
        <v>1</v>
      </c>
      <c r="F4" s="86" t="s">
        <v>705</v>
      </c>
      <c r="G4" s="87" t="s">
        <v>706</v>
      </c>
      <c r="H4" s="32">
        <v>1</v>
      </c>
      <c r="I4" s="32">
        <v>1</v>
      </c>
      <c r="J4" s="32">
        <v>1</v>
      </c>
      <c r="K4" s="32">
        <v>1</v>
      </c>
      <c r="L4" s="32">
        <v>1</v>
      </c>
      <c r="M4" s="157">
        <f t="shared" ref="M4:M15" si="0">SUM(H4:L4)</f>
        <v>5</v>
      </c>
      <c r="N4" s="48">
        <v>11</v>
      </c>
      <c r="O4" s="48">
        <v>11</v>
      </c>
      <c r="P4" s="48">
        <v>11</v>
      </c>
      <c r="Q4" s="48">
        <v>9</v>
      </c>
      <c r="R4" s="48">
        <v>10</v>
      </c>
      <c r="S4" s="146">
        <f>SUM(N4:R4)</f>
        <v>52</v>
      </c>
      <c r="T4" s="194"/>
      <c r="U4" s="194"/>
      <c r="V4" s="194"/>
      <c r="W4" s="194"/>
      <c r="X4" s="194"/>
    </row>
    <row r="5" spans="1:25" ht="45.95" customHeight="1" x14ac:dyDescent="0.2">
      <c r="A5" s="85" t="s">
        <v>702</v>
      </c>
      <c r="B5" s="63" t="s">
        <v>789</v>
      </c>
      <c r="C5" s="66" t="s">
        <v>792</v>
      </c>
      <c r="D5" s="71" t="s">
        <v>793</v>
      </c>
      <c r="E5" s="71" t="s">
        <v>1</v>
      </c>
      <c r="F5" s="69" t="s">
        <v>705</v>
      </c>
      <c r="G5" s="78" t="s">
        <v>706</v>
      </c>
      <c r="H5" s="48">
        <v>2</v>
      </c>
      <c r="I5" s="48">
        <v>1</v>
      </c>
      <c r="J5" s="48">
        <v>1</v>
      </c>
      <c r="K5" s="25">
        <v>1</v>
      </c>
      <c r="L5" s="25">
        <v>1</v>
      </c>
      <c r="M5" s="157">
        <f t="shared" si="0"/>
        <v>6</v>
      </c>
      <c r="N5" s="48">
        <f>10+14</f>
        <v>24</v>
      </c>
      <c r="O5" s="48">
        <v>12</v>
      </c>
      <c r="P5" s="48">
        <v>17</v>
      </c>
      <c r="Q5" s="48">
        <v>12</v>
      </c>
      <c r="R5" s="25">
        <v>15</v>
      </c>
      <c r="S5" s="146">
        <f>SUM(N5:R5)</f>
        <v>80</v>
      </c>
      <c r="T5" s="194"/>
      <c r="U5" s="194"/>
      <c r="V5" s="194"/>
      <c r="W5" s="194"/>
      <c r="X5" s="194"/>
    </row>
    <row r="6" spans="1:25" ht="45.95" customHeight="1" thickBot="1" x14ac:dyDescent="0.25">
      <c r="A6" s="150" t="s">
        <v>702</v>
      </c>
      <c r="B6" s="151" t="s">
        <v>789</v>
      </c>
      <c r="C6" s="151" t="s">
        <v>794</v>
      </c>
      <c r="D6" s="152" t="s">
        <v>795</v>
      </c>
      <c r="E6" s="152" t="s">
        <v>1</v>
      </c>
      <c r="F6" s="153" t="s">
        <v>796</v>
      </c>
      <c r="G6" s="81" t="s">
        <v>797</v>
      </c>
      <c r="H6" s="29">
        <v>1</v>
      </c>
      <c r="I6" s="29">
        <v>1</v>
      </c>
      <c r="J6" s="29">
        <v>1</v>
      </c>
      <c r="K6" s="29">
        <v>1</v>
      </c>
      <c r="L6" s="27">
        <v>1</v>
      </c>
      <c r="M6" s="28">
        <f t="shared" si="0"/>
        <v>5</v>
      </c>
      <c r="N6" s="29">
        <v>3</v>
      </c>
      <c r="O6" s="29">
        <v>1</v>
      </c>
      <c r="P6" s="29">
        <v>6</v>
      </c>
      <c r="Q6" s="29">
        <v>7</v>
      </c>
      <c r="R6" s="27">
        <v>11</v>
      </c>
      <c r="S6" s="28">
        <f>SUM(N6:R6)</f>
        <v>28</v>
      </c>
      <c r="T6" s="206"/>
      <c r="U6" s="206"/>
      <c r="V6" s="195"/>
      <c r="W6" s="195"/>
      <c r="X6" s="195"/>
    </row>
    <row r="7" spans="1:25" ht="45.95" customHeight="1" x14ac:dyDescent="0.2">
      <c r="A7" s="85" t="s">
        <v>728</v>
      </c>
      <c r="B7" s="63" t="s">
        <v>789</v>
      </c>
      <c r="C7" s="63" t="s">
        <v>798</v>
      </c>
      <c r="D7" s="71" t="s">
        <v>799</v>
      </c>
      <c r="E7" s="71" t="s">
        <v>3</v>
      </c>
      <c r="F7" s="86" t="s">
        <v>741</v>
      </c>
      <c r="G7" s="87" t="s">
        <v>742</v>
      </c>
      <c r="H7" s="174">
        <v>2</v>
      </c>
      <c r="I7" s="32">
        <v>2</v>
      </c>
      <c r="J7" s="32">
        <v>2</v>
      </c>
      <c r="K7" s="32">
        <v>2</v>
      </c>
      <c r="L7" s="158">
        <v>1</v>
      </c>
      <c r="M7" s="146">
        <f t="shared" si="0"/>
        <v>9</v>
      </c>
      <c r="N7" s="48">
        <f>26+21</f>
        <v>47</v>
      </c>
      <c r="O7" s="48">
        <f>19+19</f>
        <v>38</v>
      </c>
      <c r="P7" s="48">
        <f>23+20</f>
        <v>43</v>
      </c>
      <c r="Q7" s="48">
        <f>14+18</f>
        <v>32</v>
      </c>
      <c r="R7" s="48">
        <v>24</v>
      </c>
      <c r="S7" s="225">
        <f>SUM(N7:R7)</f>
        <v>184</v>
      </c>
      <c r="T7" s="194"/>
      <c r="U7" s="194"/>
      <c r="V7" s="194"/>
      <c r="W7" s="194"/>
      <c r="X7" s="194"/>
    </row>
    <row r="8" spans="1:25" ht="45.95" customHeight="1" x14ac:dyDescent="0.2">
      <c r="A8" s="89" t="s">
        <v>728</v>
      </c>
      <c r="B8" s="66" t="s">
        <v>789</v>
      </c>
      <c r="C8" s="66" t="s">
        <v>800</v>
      </c>
      <c r="D8" s="68" t="s">
        <v>801</v>
      </c>
      <c r="E8" s="68" t="s">
        <v>3</v>
      </c>
      <c r="F8" s="69" t="s">
        <v>741</v>
      </c>
      <c r="G8" s="78" t="s">
        <v>742</v>
      </c>
      <c r="H8" s="175">
        <v>1</v>
      </c>
      <c r="I8" s="44">
        <v>1</v>
      </c>
      <c r="J8" s="44">
        <v>1</v>
      </c>
      <c r="K8" s="44">
        <v>1</v>
      </c>
      <c r="L8" s="159">
        <v>1</v>
      </c>
      <c r="M8" s="22">
        <f t="shared" si="0"/>
        <v>5</v>
      </c>
      <c r="N8" s="21">
        <v>27</v>
      </c>
      <c r="O8" s="21">
        <v>20</v>
      </c>
      <c r="P8" s="21">
        <v>28</v>
      </c>
      <c r="Q8" s="21">
        <v>24</v>
      </c>
      <c r="R8" s="21">
        <v>18</v>
      </c>
      <c r="S8" s="146">
        <f t="shared" ref="S8:S15" si="1">SUM(N8:R8)</f>
        <v>117</v>
      </c>
      <c r="T8" s="194"/>
      <c r="U8" s="194"/>
      <c r="V8" s="194"/>
      <c r="W8" s="194"/>
      <c r="X8" s="194"/>
    </row>
    <row r="9" spans="1:25" ht="45.95" customHeight="1" x14ac:dyDescent="0.2">
      <c r="A9" s="89" t="s">
        <v>728</v>
      </c>
      <c r="B9" s="66" t="s">
        <v>789</v>
      </c>
      <c r="C9" s="66" t="s">
        <v>802</v>
      </c>
      <c r="D9" s="68" t="s">
        <v>803</v>
      </c>
      <c r="E9" s="68" t="s">
        <v>3</v>
      </c>
      <c r="F9" s="69" t="s">
        <v>677</v>
      </c>
      <c r="G9" s="78" t="s">
        <v>678</v>
      </c>
      <c r="H9" s="175">
        <v>1</v>
      </c>
      <c r="I9" s="44">
        <v>1</v>
      </c>
      <c r="J9" s="44">
        <v>1</v>
      </c>
      <c r="K9" s="44">
        <v>1</v>
      </c>
      <c r="L9" s="159">
        <v>1</v>
      </c>
      <c r="M9" s="22">
        <f t="shared" si="0"/>
        <v>5</v>
      </c>
      <c r="N9" s="21">
        <v>8</v>
      </c>
      <c r="O9" s="21">
        <v>7</v>
      </c>
      <c r="P9" s="21">
        <v>15</v>
      </c>
      <c r="Q9" s="21">
        <v>19</v>
      </c>
      <c r="R9" s="21">
        <v>14</v>
      </c>
      <c r="S9" s="22">
        <f t="shared" si="1"/>
        <v>63</v>
      </c>
      <c r="T9" s="196"/>
      <c r="U9" s="196"/>
      <c r="V9" s="196"/>
      <c r="W9" s="196"/>
      <c r="X9" s="196"/>
    </row>
    <row r="10" spans="1:25" ht="45.95" customHeight="1" x14ac:dyDescent="0.2">
      <c r="A10" s="89" t="s">
        <v>728</v>
      </c>
      <c r="B10" s="66" t="s">
        <v>789</v>
      </c>
      <c r="C10" s="66" t="s">
        <v>804</v>
      </c>
      <c r="D10" s="68" t="s">
        <v>805</v>
      </c>
      <c r="E10" s="68" t="s">
        <v>3</v>
      </c>
      <c r="F10" s="69" t="s">
        <v>677</v>
      </c>
      <c r="G10" s="78" t="s">
        <v>678</v>
      </c>
      <c r="H10" s="176">
        <v>1</v>
      </c>
      <c r="I10" s="160">
        <v>1</v>
      </c>
      <c r="J10" s="44">
        <v>1</v>
      </c>
      <c r="K10" s="44">
        <v>1</v>
      </c>
      <c r="L10" s="159">
        <v>1</v>
      </c>
      <c r="M10" s="22">
        <f t="shared" si="0"/>
        <v>5</v>
      </c>
      <c r="N10" s="21">
        <v>14</v>
      </c>
      <c r="O10" s="21">
        <v>13</v>
      </c>
      <c r="P10" s="21">
        <v>11</v>
      </c>
      <c r="Q10" s="21">
        <v>22</v>
      </c>
      <c r="R10" s="21">
        <v>21</v>
      </c>
      <c r="S10" s="22">
        <f t="shared" si="1"/>
        <v>81</v>
      </c>
      <c r="T10" s="196"/>
      <c r="U10" s="196"/>
      <c r="V10" s="196"/>
      <c r="W10" s="196"/>
      <c r="X10" s="196"/>
    </row>
    <row r="11" spans="1:25" ht="45.95" customHeight="1" x14ac:dyDescent="0.2">
      <c r="A11" s="89" t="s">
        <v>728</v>
      </c>
      <c r="B11" s="66" t="s">
        <v>789</v>
      </c>
      <c r="C11" s="148" t="s">
        <v>806</v>
      </c>
      <c r="D11" s="93" t="s">
        <v>807</v>
      </c>
      <c r="E11" s="68" t="s">
        <v>3</v>
      </c>
      <c r="F11" s="69" t="s">
        <v>677</v>
      </c>
      <c r="G11" s="78" t="s">
        <v>678</v>
      </c>
      <c r="H11" s="21">
        <v>1</v>
      </c>
      <c r="I11" s="25">
        <v>1</v>
      </c>
      <c r="J11" s="25">
        <v>1</v>
      </c>
      <c r="K11" s="25">
        <v>1</v>
      </c>
      <c r="L11" s="25">
        <v>1</v>
      </c>
      <c r="M11" s="147">
        <f t="shared" si="0"/>
        <v>5</v>
      </c>
      <c r="N11" s="21">
        <v>16</v>
      </c>
      <c r="O11" s="25">
        <v>15</v>
      </c>
      <c r="P11" s="25">
        <v>15</v>
      </c>
      <c r="Q11" s="25">
        <v>17</v>
      </c>
      <c r="R11" s="25">
        <v>11</v>
      </c>
      <c r="S11" s="22">
        <f t="shared" si="1"/>
        <v>74</v>
      </c>
      <c r="T11" s="196"/>
      <c r="U11" s="196"/>
      <c r="V11" s="196"/>
      <c r="W11" s="196"/>
      <c r="X11" s="204"/>
    </row>
    <row r="12" spans="1:25" ht="45.95" customHeight="1" x14ac:dyDescent="0.2">
      <c r="A12" s="95" t="s">
        <v>728</v>
      </c>
      <c r="B12" s="95" t="s">
        <v>789</v>
      </c>
      <c r="C12" s="93" t="s">
        <v>808</v>
      </c>
      <c r="D12" s="96" t="s">
        <v>809</v>
      </c>
      <c r="E12" s="96" t="s">
        <v>3</v>
      </c>
      <c r="F12" s="69" t="s">
        <v>784</v>
      </c>
      <c r="G12" s="78" t="s">
        <v>785</v>
      </c>
      <c r="H12" s="49">
        <v>2</v>
      </c>
      <c r="I12" s="49">
        <v>1</v>
      </c>
      <c r="J12" s="49">
        <v>1</v>
      </c>
      <c r="K12" s="25">
        <v>1</v>
      </c>
      <c r="L12" s="25">
        <v>1</v>
      </c>
      <c r="M12" s="147">
        <f t="shared" si="0"/>
        <v>6</v>
      </c>
      <c r="N12" s="49">
        <f>13+7</f>
        <v>20</v>
      </c>
      <c r="O12" s="49">
        <v>22</v>
      </c>
      <c r="P12" s="49">
        <v>17</v>
      </c>
      <c r="Q12" s="25">
        <v>13</v>
      </c>
      <c r="R12" s="25">
        <v>13</v>
      </c>
      <c r="S12" s="22">
        <f t="shared" si="1"/>
        <v>85</v>
      </c>
      <c r="T12" s="196"/>
      <c r="U12" s="196"/>
      <c r="V12" s="196"/>
      <c r="W12" s="196"/>
      <c r="X12" s="196"/>
    </row>
    <row r="13" spans="1:25" ht="45.95" customHeight="1" x14ac:dyDescent="0.2">
      <c r="A13" s="95" t="s">
        <v>728</v>
      </c>
      <c r="B13" s="95" t="s">
        <v>789</v>
      </c>
      <c r="C13" s="106" t="s">
        <v>810</v>
      </c>
      <c r="D13" s="107" t="s">
        <v>811</v>
      </c>
      <c r="E13" s="96" t="s">
        <v>429</v>
      </c>
      <c r="F13" s="96" t="s">
        <v>812</v>
      </c>
      <c r="G13" s="107" t="s">
        <v>813</v>
      </c>
      <c r="H13" s="161">
        <v>1</v>
      </c>
      <c r="I13" s="161">
        <v>1</v>
      </c>
      <c r="J13" s="161">
        <v>1</v>
      </c>
      <c r="K13" s="161">
        <v>1</v>
      </c>
      <c r="L13" s="161">
        <v>1</v>
      </c>
      <c r="M13" s="147">
        <f t="shared" si="0"/>
        <v>5</v>
      </c>
      <c r="N13" s="49">
        <v>17</v>
      </c>
      <c r="O13" s="49">
        <v>16</v>
      </c>
      <c r="P13" s="49">
        <v>25</v>
      </c>
      <c r="Q13" s="49">
        <v>14</v>
      </c>
      <c r="R13" s="49">
        <v>20</v>
      </c>
      <c r="S13" s="147">
        <f t="shared" si="1"/>
        <v>92</v>
      </c>
      <c r="T13" s="205"/>
      <c r="U13" s="205"/>
      <c r="V13" s="205"/>
      <c r="W13" s="205"/>
      <c r="X13" s="205"/>
    </row>
    <row r="14" spans="1:25" ht="45.95" customHeight="1" x14ac:dyDescent="0.2">
      <c r="A14" s="57" t="s">
        <v>728</v>
      </c>
      <c r="B14" s="57" t="s">
        <v>789</v>
      </c>
      <c r="C14" s="57" t="s">
        <v>814</v>
      </c>
      <c r="D14" s="69" t="s">
        <v>815</v>
      </c>
      <c r="E14" s="69" t="s">
        <v>3</v>
      </c>
      <c r="F14" s="69" t="s">
        <v>784</v>
      </c>
      <c r="G14" s="78" t="s">
        <v>785</v>
      </c>
      <c r="H14" s="21">
        <v>2</v>
      </c>
      <c r="I14" s="25">
        <v>1</v>
      </c>
      <c r="J14" s="25">
        <v>1</v>
      </c>
      <c r="K14" s="25">
        <v>1</v>
      </c>
      <c r="L14" s="25">
        <v>2</v>
      </c>
      <c r="M14" s="147">
        <f t="shared" si="0"/>
        <v>7</v>
      </c>
      <c r="N14" s="21">
        <f>15+15</f>
        <v>30</v>
      </c>
      <c r="O14" s="25">
        <v>16</v>
      </c>
      <c r="P14" s="25">
        <v>15</v>
      </c>
      <c r="Q14" s="25">
        <v>22</v>
      </c>
      <c r="R14" s="25">
        <f>19+23</f>
        <v>42</v>
      </c>
      <c r="S14" s="147">
        <f t="shared" si="1"/>
        <v>125</v>
      </c>
      <c r="T14" s="205"/>
      <c r="U14" s="205"/>
      <c r="V14" s="205"/>
      <c r="W14" s="205"/>
      <c r="X14" s="205"/>
    </row>
    <row r="15" spans="1:25" s="93" customFormat="1" ht="45.95" customHeight="1" thickBot="1" x14ac:dyDescent="0.25">
      <c r="A15" s="59" t="s">
        <v>728</v>
      </c>
      <c r="B15" s="59" t="s">
        <v>789</v>
      </c>
      <c r="C15" s="59" t="s">
        <v>816</v>
      </c>
      <c r="D15" s="59" t="s">
        <v>817</v>
      </c>
      <c r="E15" s="59" t="s">
        <v>3</v>
      </c>
      <c r="F15" s="171" t="s">
        <v>818</v>
      </c>
      <c r="G15" s="59" t="s">
        <v>819</v>
      </c>
      <c r="H15" s="29">
        <v>1</v>
      </c>
      <c r="I15" s="26">
        <v>1</v>
      </c>
      <c r="J15" s="26">
        <v>1</v>
      </c>
      <c r="K15" s="26">
        <v>1</v>
      </c>
      <c r="L15" s="26">
        <v>0</v>
      </c>
      <c r="M15" s="28">
        <f t="shared" si="0"/>
        <v>4</v>
      </c>
      <c r="N15" s="27">
        <v>10</v>
      </c>
      <c r="O15" s="29">
        <v>8</v>
      </c>
      <c r="P15" s="29">
        <v>13</v>
      </c>
      <c r="Q15" s="29">
        <v>14</v>
      </c>
      <c r="R15" s="29">
        <v>0</v>
      </c>
      <c r="S15" s="28">
        <f t="shared" si="1"/>
        <v>45</v>
      </c>
      <c r="T15" s="195"/>
      <c r="U15" s="195"/>
      <c r="V15" s="206"/>
      <c r="W15" s="206"/>
      <c r="X15" s="206"/>
      <c r="Y15" s="77"/>
    </row>
    <row r="16" spans="1:25" ht="45" customHeight="1" thickBot="1" x14ac:dyDescent="0.25">
      <c r="A16" s="97"/>
      <c r="B16" s="98"/>
      <c r="C16" s="98"/>
      <c r="D16" s="98"/>
      <c r="E16" s="98"/>
      <c r="F16" s="98"/>
      <c r="G16" s="98"/>
      <c r="H16" s="180"/>
      <c r="I16" s="180"/>
      <c r="J16" s="180"/>
      <c r="K16" s="180"/>
      <c r="L16" s="180"/>
      <c r="M16" s="181">
        <f>SUM(M4:M15)</f>
        <v>67</v>
      </c>
      <c r="N16" s="181"/>
      <c r="O16" s="181"/>
      <c r="P16" s="182"/>
      <c r="Q16" s="76"/>
      <c r="R16" s="76"/>
      <c r="S16" s="99">
        <f>SUM(S4:S15)</f>
        <v>1026</v>
      </c>
      <c r="T16" s="99"/>
      <c r="U16" s="99"/>
      <c r="V16" s="99"/>
      <c r="W16" s="99"/>
      <c r="X16" s="99"/>
    </row>
    <row r="17" spans="1:16" x14ac:dyDescent="0.2">
      <c r="A17" s="108"/>
      <c r="O17" s="84"/>
    </row>
    <row r="18" spans="1:16" x14ac:dyDescent="0.2">
      <c r="A18" s="109"/>
      <c r="J18" s="84"/>
      <c r="N18" s="84"/>
    </row>
    <row r="19" spans="1:16" x14ac:dyDescent="0.2">
      <c r="A19" s="109"/>
      <c r="J19" s="84"/>
      <c r="N19" s="84"/>
      <c r="O19" s="84"/>
      <c r="P19" s="84"/>
    </row>
    <row r="20" spans="1:16" x14ac:dyDescent="0.2">
      <c r="A20" s="109"/>
      <c r="J20" s="84"/>
      <c r="N20" s="84"/>
    </row>
    <row r="22" spans="1:16" x14ac:dyDescent="0.2">
      <c r="A22" s="103"/>
    </row>
    <row r="23" spans="1:16" x14ac:dyDescent="0.2">
      <c r="A23" s="103"/>
    </row>
  </sheetData>
  <mergeCells count="10">
    <mergeCell ref="H2:M2"/>
    <mergeCell ref="N2:S2"/>
    <mergeCell ref="F2:F3"/>
    <mergeCell ref="G2:G3"/>
    <mergeCell ref="T2:X2"/>
    <mergeCell ref="A2:A3"/>
    <mergeCell ref="B2:B3"/>
    <mergeCell ref="C2:C3"/>
    <mergeCell ref="D2:D3"/>
    <mergeCell ref="E2:E3"/>
  </mergeCells>
  <phoneticPr fontId="2" type="noConversion"/>
  <conditionalFormatting sqref="I3:L3 O3:S3 N13:X13 H14 H4:X4 H5:J5 M5:Q5 H12:J12 M12:P12 H11 M11:N11 S12:X12 M13:M15 N14:N15 U3:X3 R6:S6 S11:W11 S15:U15 L6:M6 S14:X14 S5:X5 V6:X6 H7:X10">
    <cfRule type="cellIs" dxfId="2" priority="7" stopIfTrue="1" operator="equal">
      <formula>0</formula>
    </cfRule>
  </conditionalFormatting>
  <printOptions horizontalCentered="1"/>
  <pageMargins left="0.23622047244094491" right="0.23622047244094491" top="1.7322834645669292" bottom="0.74803149606299213" header="0.31496062992125984" footer="0.31496062992125984"/>
  <pageSetup paperSize="8" scale="80" orientation="landscape" r:id="rId1"/>
  <headerFooter alignWithMargins="0">
    <oddHeader>&amp;LScuole secondarie di II grado paritarie&amp;C&amp;G&amp;RAnno scolastico 2021/2022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6"/>
  <sheetViews>
    <sheetView zoomScale="75" zoomScaleNormal="75" workbookViewId="0">
      <pane xSplit="5085" ySplit="1740" topLeftCell="A7" activePane="bottomRight"/>
      <selection pane="topRight" activeCell="F1" sqref="F1:F1048576"/>
      <selection pane="bottomLeft" activeCell="A18" sqref="A18:XFD24"/>
      <selection pane="bottomRight" activeCell="N9" sqref="N9"/>
    </sheetView>
  </sheetViews>
  <sheetFormatPr defaultRowHeight="12.75" x14ac:dyDescent="0.2"/>
  <cols>
    <col min="1" max="1" width="9.5" style="62" bestFit="1" customWidth="1"/>
    <col min="2" max="2" width="10.625" style="62" bestFit="1" customWidth="1"/>
    <col min="3" max="3" width="15.25" style="62" customWidth="1"/>
    <col min="4" max="4" width="15.375" style="102" customWidth="1"/>
    <col min="5" max="5" width="11.625" style="125" customWidth="1"/>
    <col min="6" max="6" width="10.25" style="62" customWidth="1"/>
    <col min="7" max="7" width="31.5" style="62" customWidth="1"/>
    <col min="8" max="8" width="2.125" style="62" customWidth="1"/>
    <col min="9" max="10" width="2.5" style="62" customWidth="1"/>
    <col min="11" max="11" width="4" style="62" bestFit="1" customWidth="1"/>
    <col min="12" max="14" width="3.125" style="62" customWidth="1"/>
    <col min="15" max="15" width="6.125" style="62" customWidth="1"/>
    <col min="16" max="18" width="6.125" style="62" hidden="1" customWidth="1"/>
    <col min="19" max="19" width="9" style="3"/>
    <col min="20" max="16384" width="9" style="62"/>
  </cols>
  <sheetData>
    <row r="1" spans="1:20" x14ac:dyDescent="0.2">
      <c r="B1" s="84"/>
      <c r="C1" s="101"/>
      <c r="D1" s="126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20" s="104" customFormat="1" ht="45" customHeight="1" x14ac:dyDescent="0.2">
      <c r="A2" s="285" t="s">
        <v>4</v>
      </c>
      <c r="B2" s="288" t="s">
        <v>759</v>
      </c>
      <c r="C2" s="279" t="s">
        <v>6</v>
      </c>
      <c r="D2" s="279" t="s">
        <v>7</v>
      </c>
      <c r="E2" s="279" t="s">
        <v>8</v>
      </c>
      <c r="F2" s="281" t="s">
        <v>9</v>
      </c>
      <c r="G2" s="281" t="s">
        <v>10</v>
      </c>
      <c r="H2" s="284" t="s">
        <v>760</v>
      </c>
      <c r="I2" s="284"/>
      <c r="J2" s="284"/>
      <c r="K2" s="284"/>
      <c r="L2" s="284" t="s">
        <v>821</v>
      </c>
      <c r="M2" s="284"/>
      <c r="N2" s="284"/>
      <c r="O2" s="284"/>
      <c r="P2" s="283" t="s">
        <v>13</v>
      </c>
      <c r="Q2" s="284"/>
      <c r="R2" s="284"/>
      <c r="S2" s="278"/>
      <c r="T2" s="277"/>
    </row>
    <row r="3" spans="1:20" s="127" customFormat="1" ht="45" customHeight="1" x14ac:dyDescent="0.2">
      <c r="A3" s="286"/>
      <c r="B3" s="289"/>
      <c r="C3" s="280"/>
      <c r="D3" s="287"/>
      <c r="E3" s="287"/>
      <c r="F3" s="282"/>
      <c r="G3" s="282"/>
      <c r="H3" s="136">
        <v>1</v>
      </c>
      <c r="I3" s="136">
        <v>2</v>
      </c>
      <c r="J3" s="179">
        <v>3</v>
      </c>
      <c r="K3" s="136" t="s">
        <v>689</v>
      </c>
      <c r="L3" s="136">
        <v>1</v>
      </c>
      <c r="M3" s="136">
        <v>2</v>
      </c>
      <c r="N3" s="136">
        <v>3</v>
      </c>
      <c r="O3" s="136" t="s">
        <v>689</v>
      </c>
      <c r="P3" s="231">
        <v>1</v>
      </c>
      <c r="Q3" s="136">
        <v>2</v>
      </c>
      <c r="R3" s="179">
        <v>3</v>
      </c>
      <c r="S3" s="278"/>
      <c r="T3" s="277"/>
    </row>
    <row r="4" spans="1:20" s="105" customFormat="1" ht="45.95" customHeight="1" thickBot="1" x14ac:dyDescent="0.25">
      <c r="A4" s="60" t="s">
        <v>690</v>
      </c>
      <c r="B4" s="81" t="s">
        <v>761</v>
      </c>
      <c r="C4" s="59" t="s">
        <v>762</v>
      </c>
      <c r="D4" s="81" t="s">
        <v>701</v>
      </c>
      <c r="E4" s="81" t="s">
        <v>40</v>
      </c>
      <c r="F4" s="81" t="s">
        <v>41</v>
      </c>
      <c r="G4" s="81" t="s">
        <v>42</v>
      </c>
      <c r="H4" s="163">
        <v>1</v>
      </c>
      <c r="I4" s="163">
        <v>1</v>
      </c>
      <c r="J4" s="170">
        <v>1</v>
      </c>
      <c r="K4" s="82">
        <f>SUM(H4:J4)</f>
        <v>3</v>
      </c>
      <c r="L4" s="163">
        <v>7</v>
      </c>
      <c r="M4" s="163">
        <v>5</v>
      </c>
      <c r="N4" s="163">
        <v>3</v>
      </c>
      <c r="O4" s="82">
        <f t="shared" ref="O4:O16" si="0">SUM(L4:N4)</f>
        <v>15</v>
      </c>
      <c r="P4" s="232"/>
      <c r="Q4" s="195"/>
      <c r="R4" s="197"/>
      <c r="S4" s="184"/>
      <c r="T4" s="110"/>
    </row>
    <row r="5" spans="1:20" ht="45.95" customHeight="1" x14ac:dyDescent="0.2">
      <c r="A5" s="63" t="s">
        <v>702</v>
      </c>
      <c r="B5" s="63" t="s">
        <v>761</v>
      </c>
      <c r="C5" s="63" t="s">
        <v>763</v>
      </c>
      <c r="D5" s="71" t="s">
        <v>764</v>
      </c>
      <c r="E5" s="111" t="s">
        <v>1</v>
      </c>
      <c r="F5" s="87" t="s">
        <v>705</v>
      </c>
      <c r="G5" s="87" t="s">
        <v>706</v>
      </c>
      <c r="H5" s="177">
        <v>4</v>
      </c>
      <c r="I5" s="88">
        <v>4</v>
      </c>
      <c r="J5" s="88">
        <v>3</v>
      </c>
      <c r="K5" s="112">
        <f>SUM(H5:J5)</f>
        <v>11</v>
      </c>
      <c r="L5" s="88">
        <f>20+20+21+21</f>
        <v>82</v>
      </c>
      <c r="M5" s="88">
        <f>20+21+21+21</f>
        <v>83</v>
      </c>
      <c r="N5" s="88">
        <f>22+22+22</f>
        <v>66</v>
      </c>
      <c r="O5" s="241">
        <f t="shared" si="0"/>
        <v>231</v>
      </c>
      <c r="P5" s="233"/>
      <c r="Q5" s="198"/>
      <c r="R5" s="199"/>
    </row>
    <row r="6" spans="1:20" ht="45.95" customHeight="1" thickBot="1" x14ac:dyDescent="0.25">
      <c r="A6" s="64" t="s">
        <v>702</v>
      </c>
      <c r="B6" s="64" t="s">
        <v>761</v>
      </c>
      <c r="C6" s="64" t="s">
        <v>765</v>
      </c>
      <c r="D6" s="72" t="s">
        <v>748</v>
      </c>
      <c r="E6" s="113" t="s">
        <v>1</v>
      </c>
      <c r="F6" s="114" t="s">
        <v>766</v>
      </c>
      <c r="G6" s="91" t="s">
        <v>710</v>
      </c>
      <c r="H6" s="92">
        <v>5</v>
      </c>
      <c r="I6" s="92">
        <v>5</v>
      </c>
      <c r="J6" s="92">
        <v>5</v>
      </c>
      <c r="K6" s="115">
        <f>SUM(H6:J6)</f>
        <v>15</v>
      </c>
      <c r="L6" s="92">
        <f>25+25+22+20+24</f>
        <v>116</v>
      </c>
      <c r="M6" s="92">
        <f>20+23+24+22+24</f>
        <v>113</v>
      </c>
      <c r="N6" s="92">
        <f>25+25+25+26+22</f>
        <v>123</v>
      </c>
      <c r="O6" s="242">
        <f t="shared" si="0"/>
        <v>352</v>
      </c>
      <c r="P6" s="234"/>
      <c r="Q6" s="200"/>
      <c r="R6" s="201"/>
      <c r="S6" s="185"/>
    </row>
    <row r="7" spans="1:20" ht="45.95" customHeight="1" thickBot="1" x14ac:dyDescent="0.25">
      <c r="A7" s="116" t="s">
        <v>711</v>
      </c>
      <c r="B7" s="116" t="s">
        <v>761</v>
      </c>
      <c r="C7" s="116" t="s">
        <v>767</v>
      </c>
      <c r="D7" s="128" t="s">
        <v>715</v>
      </c>
      <c r="E7" s="117" t="s">
        <v>2</v>
      </c>
      <c r="F7" s="114" t="s">
        <v>313</v>
      </c>
      <c r="G7" s="91" t="s">
        <v>314</v>
      </c>
      <c r="H7" s="118">
        <v>1</v>
      </c>
      <c r="I7" s="118">
        <v>1</v>
      </c>
      <c r="J7" s="118">
        <v>1</v>
      </c>
      <c r="K7" s="115">
        <f>SUM(H7:J7)</f>
        <v>3</v>
      </c>
      <c r="L7" s="118">
        <v>13</v>
      </c>
      <c r="M7" s="118">
        <v>18</v>
      </c>
      <c r="N7" s="118">
        <v>17</v>
      </c>
      <c r="O7" s="243">
        <f t="shared" si="0"/>
        <v>48</v>
      </c>
      <c r="P7" s="235"/>
      <c r="Q7" s="222"/>
      <c r="R7" s="223"/>
    </row>
    <row r="8" spans="1:20" ht="45.95" customHeight="1" x14ac:dyDescent="0.2">
      <c r="A8" s="63" t="s">
        <v>728</v>
      </c>
      <c r="B8" s="63" t="s">
        <v>761</v>
      </c>
      <c r="C8" s="63" t="s">
        <v>768</v>
      </c>
      <c r="D8" s="71" t="s">
        <v>769</v>
      </c>
      <c r="E8" s="111" t="s">
        <v>618</v>
      </c>
      <c r="F8" s="87" t="s">
        <v>770</v>
      </c>
      <c r="G8" s="87" t="s">
        <v>771</v>
      </c>
      <c r="H8" s="177">
        <v>1</v>
      </c>
      <c r="I8" s="88">
        <v>1</v>
      </c>
      <c r="J8" s="88">
        <v>1</v>
      </c>
      <c r="K8" s="112">
        <f>SUM(H8:J8)</f>
        <v>3</v>
      </c>
      <c r="L8" s="88">
        <v>25</v>
      </c>
      <c r="M8" s="88">
        <v>24</v>
      </c>
      <c r="N8" s="88">
        <v>26</v>
      </c>
      <c r="O8" s="221">
        <f t="shared" si="0"/>
        <v>75</v>
      </c>
      <c r="P8" s="236"/>
      <c r="Q8" s="194"/>
      <c r="R8" s="202"/>
    </row>
    <row r="9" spans="1:20" ht="45.95" customHeight="1" x14ac:dyDescent="0.2">
      <c r="A9" s="66" t="s">
        <v>728</v>
      </c>
      <c r="B9" s="66" t="s">
        <v>761</v>
      </c>
      <c r="C9" s="66" t="s">
        <v>772</v>
      </c>
      <c r="D9" s="68" t="s">
        <v>748</v>
      </c>
      <c r="E9" s="119" t="s">
        <v>481</v>
      </c>
      <c r="F9" s="78" t="s">
        <v>749</v>
      </c>
      <c r="G9" s="78" t="s">
        <v>750</v>
      </c>
      <c r="H9" s="178">
        <v>1</v>
      </c>
      <c r="I9" s="90">
        <v>1</v>
      </c>
      <c r="J9" s="90">
        <v>1</v>
      </c>
      <c r="K9" s="112">
        <f t="shared" ref="K9:K16" si="1">SUM(H9:J9)</f>
        <v>3</v>
      </c>
      <c r="L9" s="90">
        <v>26</v>
      </c>
      <c r="M9" s="90">
        <v>22</v>
      </c>
      <c r="N9" s="90">
        <v>18</v>
      </c>
      <c r="O9" s="217">
        <f t="shared" si="0"/>
        <v>66</v>
      </c>
      <c r="P9" s="237"/>
      <c r="Q9" s="196"/>
      <c r="R9" s="203"/>
    </row>
    <row r="10" spans="1:20" ht="45.95" customHeight="1" x14ac:dyDescent="0.2">
      <c r="A10" s="66" t="s">
        <v>728</v>
      </c>
      <c r="B10" s="66" t="s">
        <v>761</v>
      </c>
      <c r="C10" s="66" t="s">
        <v>773</v>
      </c>
      <c r="D10" s="68" t="s">
        <v>774</v>
      </c>
      <c r="E10" s="119" t="s">
        <v>3</v>
      </c>
      <c r="F10" s="78" t="s">
        <v>337</v>
      </c>
      <c r="G10" s="78" t="s">
        <v>338</v>
      </c>
      <c r="H10" s="178">
        <v>2</v>
      </c>
      <c r="I10" s="90">
        <v>2</v>
      </c>
      <c r="J10" s="90">
        <v>2</v>
      </c>
      <c r="K10" s="112">
        <f t="shared" si="1"/>
        <v>6</v>
      </c>
      <c r="L10" s="90">
        <f>20+20</f>
        <v>40</v>
      </c>
      <c r="M10" s="90">
        <f>12+12</f>
        <v>24</v>
      </c>
      <c r="N10" s="90">
        <f>20+16</f>
        <v>36</v>
      </c>
      <c r="O10" s="244">
        <f t="shared" si="0"/>
        <v>100</v>
      </c>
      <c r="P10" s="233"/>
      <c r="Q10" s="198"/>
      <c r="R10" s="199"/>
    </row>
    <row r="11" spans="1:20" ht="45.95" customHeight="1" x14ac:dyDescent="0.2">
      <c r="A11" s="66" t="s">
        <v>728</v>
      </c>
      <c r="B11" s="66" t="s">
        <v>761</v>
      </c>
      <c r="C11" s="66" t="s">
        <v>775</v>
      </c>
      <c r="D11" s="68" t="s">
        <v>776</v>
      </c>
      <c r="E11" s="119" t="s">
        <v>3</v>
      </c>
      <c r="F11" s="78" t="s">
        <v>677</v>
      </c>
      <c r="G11" s="78" t="s">
        <v>678</v>
      </c>
      <c r="H11" s="90">
        <v>2</v>
      </c>
      <c r="I11" s="90">
        <v>2</v>
      </c>
      <c r="J11" s="90">
        <v>1</v>
      </c>
      <c r="K11" s="112">
        <f t="shared" si="1"/>
        <v>5</v>
      </c>
      <c r="L11" s="90">
        <f>15+15</f>
        <v>30</v>
      </c>
      <c r="M11" s="90">
        <f>24+18</f>
        <v>42</v>
      </c>
      <c r="N11" s="90">
        <f>24</f>
        <v>24</v>
      </c>
      <c r="O11" s="218">
        <f t="shared" si="0"/>
        <v>96</v>
      </c>
      <c r="P11" s="237"/>
      <c r="Q11" s="196"/>
      <c r="R11" s="203"/>
    </row>
    <row r="12" spans="1:20" ht="45.95" customHeight="1" x14ac:dyDescent="0.2">
      <c r="A12" s="73" t="s">
        <v>728</v>
      </c>
      <c r="B12" s="73" t="s">
        <v>761</v>
      </c>
      <c r="C12" s="73" t="s">
        <v>777</v>
      </c>
      <c r="D12" s="74" t="s">
        <v>746</v>
      </c>
      <c r="E12" s="120" t="s">
        <v>667</v>
      </c>
      <c r="F12" s="78" t="s">
        <v>668</v>
      </c>
      <c r="G12" s="78" t="s">
        <v>669</v>
      </c>
      <c r="H12" s="94">
        <v>1</v>
      </c>
      <c r="I12" s="94">
        <v>1</v>
      </c>
      <c r="J12" s="94">
        <v>1</v>
      </c>
      <c r="K12" s="112">
        <f t="shared" si="1"/>
        <v>3</v>
      </c>
      <c r="L12" s="94">
        <v>18</v>
      </c>
      <c r="M12" s="94">
        <v>25</v>
      </c>
      <c r="N12" s="94">
        <v>24</v>
      </c>
      <c r="O12" s="244">
        <f t="shared" si="0"/>
        <v>67</v>
      </c>
      <c r="P12" s="238"/>
      <c r="Q12" s="199"/>
      <c r="R12" s="199"/>
    </row>
    <row r="13" spans="1:20" ht="45.95" customHeight="1" x14ac:dyDescent="0.2">
      <c r="A13" s="57" t="s">
        <v>728</v>
      </c>
      <c r="B13" s="57" t="s">
        <v>761</v>
      </c>
      <c r="C13" s="57" t="s">
        <v>778</v>
      </c>
      <c r="D13" s="69" t="s">
        <v>779</v>
      </c>
      <c r="E13" s="78" t="s">
        <v>3</v>
      </c>
      <c r="F13" s="78" t="s">
        <v>741</v>
      </c>
      <c r="G13" s="78" t="s">
        <v>742</v>
      </c>
      <c r="H13" s="79">
        <v>4</v>
      </c>
      <c r="I13" s="79">
        <v>3</v>
      </c>
      <c r="J13" s="79">
        <v>3</v>
      </c>
      <c r="K13" s="112">
        <f t="shared" si="1"/>
        <v>10</v>
      </c>
      <c r="L13" s="79">
        <f>24+22+24+24</f>
        <v>94</v>
      </c>
      <c r="M13" s="79">
        <f>24+21+25</f>
        <v>70</v>
      </c>
      <c r="N13" s="79">
        <f>24+23+23</f>
        <v>70</v>
      </c>
      <c r="O13" s="80">
        <f t="shared" si="0"/>
        <v>234</v>
      </c>
      <c r="P13" s="237"/>
      <c r="Q13" s="196"/>
      <c r="R13" s="196"/>
    </row>
    <row r="14" spans="1:20" ht="45.95" customHeight="1" x14ac:dyDescent="0.2">
      <c r="A14" s="57" t="s">
        <v>728</v>
      </c>
      <c r="B14" s="57" t="s">
        <v>761</v>
      </c>
      <c r="C14" s="57" t="s">
        <v>780</v>
      </c>
      <c r="D14" s="69" t="s">
        <v>781</v>
      </c>
      <c r="E14" s="78" t="s">
        <v>3</v>
      </c>
      <c r="F14" s="78" t="s">
        <v>681</v>
      </c>
      <c r="G14" s="78" t="s">
        <v>682</v>
      </c>
      <c r="H14" s="79">
        <v>1</v>
      </c>
      <c r="I14" s="79">
        <v>1</v>
      </c>
      <c r="J14" s="79">
        <v>1</v>
      </c>
      <c r="K14" s="112">
        <f t="shared" si="1"/>
        <v>3</v>
      </c>
      <c r="L14" s="79">
        <v>19</v>
      </c>
      <c r="M14" s="79">
        <v>12</v>
      </c>
      <c r="N14" s="79">
        <v>19</v>
      </c>
      <c r="O14" s="80">
        <f t="shared" si="0"/>
        <v>50</v>
      </c>
      <c r="P14" s="237"/>
      <c r="Q14" s="196"/>
      <c r="R14" s="196"/>
    </row>
    <row r="15" spans="1:20" ht="45.95" customHeight="1" x14ac:dyDescent="0.2">
      <c r="A15" s="95" t="s">
        <v>728</v>
      </c>
      <c r="B15" s="95" t="s">
        <v>761</v>
      </c>
      <c r="C15" s="95" t="s">
        <v>782</v>
      </c>
      <c r="D15" s="96" t="s">
        <v>783</v>
      </c>
      <c r="E15" s="107" t="s">
        <v>3</v>
      </c>
      <c r="F15" s="107" t="s">
        <v>784</v>
      </c>
      <c r="G15" s="107" t="s">
        <v>785</v>
      </c>
      <c r="H15" s="215">
        <v>1</v>
      </c>
      <c r="I15" s="215">
        <v>1</v>
      </c>
      <c r="J15" s="215">
        <v>1</v>
      </c>
      <c r="K15" s="216">
        <f>SUM(H15:J15)</f>
        <v>3</v>
      </c>
      <c r="L15" s="215">
        <v>19</v>
      </c>
      <c r="M15" s="215">
        <v>10</v>
      </c>
      <c r="N15" s="215">
        <v>14</v>
      </c>
      <c r="O15" s="207">
        <f t="shared" si="0"/>
        <v>43</v>
      </c>
      <c r="P15" s="239"/>
      <c r="Q15" s="205"/>
      <c r="R15" s="205"/>
    </row>
    <row r="16" spans="1:20" ht="45.95" customHeight="1" thickBot="1" x14ac:dyDescent="0.25">
      <c r="A16" s="59" t="s">
        <v>728</v>
      </c>
      <c r="B16" s="59" t="s">
        <v>761</v>
      </c>
      <c r="C16" s="59" t="s">
        <v>786</v>
      </c>
      <c r="D16" s="70" t="s">
        <v>787</v>
      </c>
      <c r="E16" s="81" t="s">
        <v>3</v>
      </c>
      <c r="F16" s="153" t="s">
        <v>756</v>
      </c>
      <c r="G16" s="81" t="s">
        <v>788</v>
      </c>
      <c r="H16" s="59">
        <v>1</v>
      </c>
      <c r="I16" s="59">
        <v>0</v>
      </c>
      <c r="J16" s="59">
        <v>0</v>
      </c>
      <c r="K16" s="193">
        <f t="shared" si="1"/>
        <v>1</v>
      </c>
      <c r="L16" s="83">
        <v>12</v>
      </c>
      <c r="M16" s="83">
        <v>0</v>
      </c>
      <c r="N16" s="83">
        <v>0</v>
      </c>
      <c r="O16" s="82">
        <f t="shared" si="0"/>
        <v>12</v>
      </c>
      <c r="P16" s="232"/>
      <c r="Q16" s="195"/>
      <c r="R16" s="195"/>
      <c r="S16" s="185"/>
    </row>
    <row r="17" spans="1:18" ht="45" customHeight="1" thickBot="1" x14ac:dyDescent="0.25">
      <c r="A17" s="121"/>
      <c r="B17" s="76"/>
      <c r="C17" s="76"/>
      <c r="D17" s="122"/>
      <c r="E17" s="123"/>
      <c r="F17" s="76"/>
      <c r="G17" s="76"/>
      <c r="H17" s="76"/>
      <c r="I17" s="76"/>
      <c r="J17" s="76"/>
      <c r="K17" s="100">
        <f>SUM(K4:K16)</f>
        <v>69</v>
      </c>
      <c r="L17" s="76"/>
      <c r="M17" s="76"/>
      <c r="N17" s="76"/>
      <c r="O17" s="100">
        <f>SUM(O4:O16)</f>
        <v>1389</v>
      </c>
      <c r="P17" s="240"/>
      <c r="Q17" s="100"/>
      <c r="R17" s="100"/>
    </row>
    <row r="18" spans="1:18" x14ac:dyDescent="0.2">
      <c r="A18" s="124"/>
    </row>
    <row r="19" spans="1:18" x14ac:dyDescent="0.2">
      <c r="A19" s="103"/>
    </row>
    <row r="26" spans="1:18" x14ac:dyDescent="0.2">
      <c r="A26" s="109"/>
    </row>
  </sheetData>
  <mergeCells count="12">
    <mergeCell ref="A2:A3"/>
    <mergeCell ref="H2:K2"/>
    <mergeCell ref="L2:O2"/>
    <mergeCell ref="D2:D3"/>
    <mergeCell ref="E2:E3"/>
    <mergeCell ref="B2:B3"/>
    <mergeCell ref="F2:F3"/>
    <mergeCell ref="T2:T3"/>
    <mergeCell ref="S2:S3"/>
    <mergeCell ref="C2:C3"/>
    <mergeCell ref="G2:G3"/>
    <mergeCell ref="P2:R2"/>
  </mergeCells>
  <phoneticPr fontId="2" type="noConversion"/>
  <conditionalFormatting sqref="F6:G13 K4:L4 N4:Q4 H2:H13 I3:R3 O16:R16 I12:J13 I9:K11 L9:R15 K12:K16 I5:R8 F14:J15">
    <cfRule type="cellIs" dxfId="1" priority="4" stopIfTrue="1" operator="equal">
      <formula>0</formula>
    </cfRule>
  </conditionalFormatting>
  <conditionalFormatting sqref="S2:T2">
    <cfRule type="cellIs" dxfId="0" priority="5" stopIfTrue="1" operator="lessThan">
      <formula>0</formula>
    </cfRule>
  </conditionalFormatting>
  <printOptions horizontalCentered="1"/>
  <pageMargins left="0.23622047244094491" right="0.23622047244094491" top="1.7322834645669292" bottom="0.74803149606299213" header="0.31496062992125984" footer="0.31496062992125984"/>
  <pageSetup paperSize="8" scale="80" orientation="landscape" r:id="rId1"/>
  <headerFooter alignWithMargins="0">
    <oddHeader>&amp;LScuole secondarie di I grado paritarie&amp;C&amp;G&amp;RAnno scolastico 2021/2022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7</vt:i4>
      </vt:variant>
    </vt:vector>
  </HeadingPairs>
  <TitlesOfParts>
    <vt:vector size="11" baseType="lpstr">
      <vt:lpstr>infanzia</vt:lpstr>
      <vt:lpstr>primaria</vt:lpstr>
      <vt:lpstr>II grado </vt:lpstr>
      <vt:lpstr> I grado</vt:lpstr>
      <vt:lpstr>' I grado'!Area_stampa</vt:lpstr>
      <vt:lpstr>'II grado '!Area_stampa</vt:lpstr>
      <vt:lpstr>infanzia!Area_stampa</vt:lpstr>
      <vt:lpstr>primaria!Area_stampa</vt:lpstr>
      <vt:lpstr>'II grado '!Titoli_stampa</vt:lpstr>
      <vt:lpstr>infanzia!Titoli_stampa</vt:lpstr>
      <vt:lpstr>primaria!Titoli_stampa</vt:lpstr>
    </vt:vector>
  </TitlesOfParts>
  <Manager/>
  <Company>M.I.U.R.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MI03952</dc:creator>
  <cp:keywords/>
  <dc:description/>
  <cp:lastModifiedBy>Nardella Monica</cp:lastModifiedBy>
  <cp:revision/>
  <cp:lastPrinted>2022-03-01T13:53:07Z</cp:lastPrinted>
  <dcterms:created xsi:type="dcterms:W3CDTF">2009-07-15T13:23:31Z</dcterms:created>
  <dcterms:modified xsi:type="dcterms:W3CDTF">2022-03-01T13:53:59Z</dcterms:modified>
  <cp:category/>
  <cp:contentStatus/>
</cp:coreProperties>
</file>